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839bu-fp01\1839-HON\Applications,Worksheets, and Flyers\Commercial PY24\Worksheets\"/>
    </mc:Choice>
  </mc:AlternateContent>
  <xr:revisionPtr revIDLastSave="0" documentId="8_{03CA9E95-C983-46BC-98E1-A6789139C037}" xr6:coauthVersionLast="47" xr6:coauthVersionMax="47" xr10:uidLastSave="{00000000-0000-0000-0000-000000000000}"/>
  <workbookProtection workbookAlgorithmName="SHA-512" workbookHashValue="VaEb1uUsgupBQbDxRhOqG1pbQMQPzHKXZwN2/8kBFXjShyk3CjaTKTMjGhd3LywyFViYsEO5Azk0/LsnBBqpXw==" workbookSaltValue="cLS0jIKmmW8l7FYs0yRhQw==" workbookSpinCount="100000" lockStructure="1"/>
  <bookViews>
    <workbookView xWindow="-28905" yWindow="8490" windowWidth="28125" windowHeight="15480" xr2:uid="{00000000-000D-0000-FFFF-FFFF00000000}"/>
  </bookViews>
  <sheets>
    <sheet name="Input" sheetId="1" r:id="rId1"/>
    <sheet name="Savings Calc" sheetId="4" state="hidden" r:id="rId2"/>
    <sheet name="EFLH &amp; CF" sheetId="5" state="hidden" r:id="rId3"/>
    <sheet name="EFLH | CF" sheetId="2" state="hidden" r:id="rId4"/>
  </sheets>
  <definedNames>
    <definedName name="IntEff" localSheetId="3">#REF!</definedName>
    <definedName name="IntEff">#REF!</definedName>
    <definedName name="IntEff2">#REF!</definedName>
    <definedName name="LgtOpHrs" localSheetId="3">#REF!</definedName>
    <definedName name="LgtOpHrs">#REF!</definedName>
    <definedName name="LgtOpHrs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7" i="1"/>
  <c r="P18" i="1"/>
  <c r="L10" i="1" l="1"/>
  <c r="L11" i="1" l="1"/>
  <c r="L12" i="1"/>
  <c r="L13" i="1"/>
  <c r="L14" i="1"/>
  <c r="AU14" i="1" s="1"/>
  <c r="L15" i="1"/>
  <c r="AU15" i="1" s="1"/>
  <c r="L16" i="1"/>
  <c r="AU16" i="1" s="1"/>
  <c r="L17" i="1"/>
  <c r="L18" i="1"/>
  <c r="L9" i="1"/>
  <c r="BS9" i="1"/>
  <c r="BS18" i="1"/>
  <c r="BS17" i="1"/>
  <c r="BS16" i="1"/>
  <c r="BS15" i="1"/>
  <c r="BS14" i="1"/>
  <c r="BS13" i="1"/>
  <c r="BS12" i="1"/>
  <c r="BS11" i="1"/>
  <c r="BS10" i="1"/>
  <c r="BM10" i="1"/>
  <c r="BP10" i="1" s="1"/>
  <c r="BM11" i="1"/>
  <c r="BP11" i="1" s="1"/>
  <c r="BM12" i="1"/>
  <c r="BP12" i="1" s="1"/>
  <c r="BM13" i="1"/>
  <c r="BP13" i="1" s="1"/>
  <c r="BM14" i="1"/>
  <c r="BP14" i="1" s="1"/>
  <c r="BM15" i="1"/>
  <c r="BP15" i="1" s="1"/>
  <c r="BM16" i="1"/>
  <c r="BP16" i="1" s="1"/>
  <c r="BM17" i="1"/>
  <c r="BP17" i="1" s="1"/>
  <c r="BM18" i="1"/>
  <c r="BP18" i="1" s="1"/>
  <c r="BM9" i="1"/>
  <c r="BP9" i="1" s="1"/>
  <c r="BG10" i="1"/>
  <c r="BG11" i="1"/>
  <c r="BG12" i="1"/>
  <c r="BG13" i="1"/>
  <c r="BG14" i="1"/>
  <c r="BG15" i="1"/>
  <c r="BG16" i="1"/>
  <c r="BG17" i="1"/>
  <c r="BG18" i="1"/>
  <c r="BG9" i="1"/>
  <c r="BA10" i="1"/>
  <c r="BD10" i="1" s="1"/>
  <c r="BA11" i="1"/>
  <c r="BD11" i="1" s="1"/>
  <c r="BA12" i="1"/>
  <c r="BD12" i="1" s="1"/>
  <c r="BA13" i="1"/>
  <c r="BD13" i="1" s="1"/>
  <c r="BA14" i="1"/>
  <c r="BD14" i="1" s="1"/>
  <c r="BA15" i="1"/>
  <c r="BD15" i="1" s="1"/>
  <c r="BA16" i="1"/>
  <c r="BD16" i="1" s="1"/>
  <c r="BA17" i="1"/>
  <c r="BD17" i="1" s="1"/>
  <c r="BA18" i="1"/>
  <c r="BD18" i="1" s="1"/>
  <c r="BA9" i="1"/>
  <c r="BD9" i="1" s="1"/>
  <c r="BU13" i="1" l="1"/>
  <c r="BT13" i="1"/>
  <c r="BV13" i="1"/>
  <c r="BT16" i="1"/>
  <c r="BU16" i="1"/>
  <c r="BV16" i="1"/>
  <c r="BW16" i="1" s="1"/>
  <c r="BU18" i="1"/>
  <c r="BT18" i="1"/>
  <c r="BV18" i="1"/>
  <c r="BW18" i="1" s="1"/>
  <c r="BU15" i="1"/>
  <c r="BT15" i="1"/>
  <c r="BV15" i="1"/>
  <c r="BW15" i="1" s="1"/>
  <c r="BV14" i="1"/>
  <c r="BU14" i="1"/>
  <c r="BT14" i="1"/>
  <c r="BU17" i="1"/>
  <c r="BV17" i="1"/>
  <c r="BT17" i="1"/>
  <c r="BV9" i="1"/>
  <c r="BT9" i="1"/>
  <c r="BU9" i="1"/>
  <c r="BT11" i="1"/>
  <c r="BU11" i="1"/>
  <c r="BV11" i="1"/>
  <c r="BU10" i="1"/>
  <c r="BT10" i="1"/>
  <c r="BV10" i="1"/>
  <c r="BW10" i="1" s="1"/>
  <c r="BT12" i="1"/>
  <c r="BU12" i="1"/>
  <c r="BV12" i="1"/>
  <c r="BN13" i="1"/>
  <c r="BO13" i="1"/>
  <c r="BQ13" i="1" s="1"/>
  <c r="BJ16" i="1"/>
  <c r="BH16" i="1"/>
  <c r="BI16" i="1"/>
  <c r="BN14" i="1"/>
  <c r="BO14" i="1"/>
  <c r="BQ14" i="1" s="1"/>
  <c r="BN12" i="1"/>
  <c r="BO12" i="1"/>
  <c r="BQ12" i="1" s="1"/>
  <c r="BO11" i="1"/>
  <c r="BN11" i="1"/>
  <c r="BH12" i="1"/>
  <c r="BI12" i="1"/>
  <c r="BJ12" i="1"/>
  <c r="BK12" i="1" s="1"/>
  <c r="BO10" i="1"/>
  <c r="BN10" i="1"/>
  <c r="BI15" i="1"/>
  <c r="BH15" i="1"/>
  <c r="BJ15" i="1"/>
  <c r="BI14" i="1"/>
  <c r="BJ14" i="1"/>
  <c r="BH14" i="1"/>
  <c r="BH13" i="1"/>
  <c r="BJ13" i="1"/>
  <c r="BI13" i="1"/>
  <c r="BI11" i="1"/>
  <c r="BJ11" i="1"/>
  <c r="BH11" i="1"/>
  <c r="BH10" i="1"/>
  <c r="BI10" i="1"/>
  <c r="BJ10" i="1"/>
  <c r="BN9" i="1"/>
  <c r="BO9" i="1"/>
  <c r="BQ9" i="1" s="1"/>
  <c r="BO18" i="1"/>
  <c r="BN18" i="1"/>
  <c r="BI9" i="1"/>
  <c r="BJ9" i="1"/>
  <c r="BK9" i="1" s="1"/>
  <c r="BH9" i="1"/>
  <c r="BN17" i="1"/>
  <c r="BO17" i="1"/>
  <c r="BQ17" i="1" s="1"/>
  <c r="BI18" i="1"/>
  <c r="BJ18" i="1"/>
  <c r="BH18" i="1"/>
  <c r="BN16" i="1"/>
  <c r="BO16" i="1"/>
  <c r="BQ16" i="1" s="1"/>
  <c r="BJ17" i="1"/>
  <c r="BH17" i="1"/>
  <c r="BI17" i="1"/>
  <c r="BN15" i="1"/>
  <c r="BO15" i="1"/>
  <c r="AU9" i="1"/>
  <c r="AW9" i="1" s="1"/>
  <c r="BB16" i="1"/>
  <c r="BC16" i="1"/>
  <c r="BE16" i="1" s="1"/>
  <c r="BB15" i="1"/>
  <c r="BC15" i="1"/>
  <c r="BE15" i="1" s="1"/>
  <c r="BB18" i="1"/>
  <c r="BC18" i="1"/>
  <c r="BB17" i="1"/>
  <c r="BC17" i="1"/>
  <c r="BE17" i="1" s="1"/>
  <c r="BB14" i="1"/>
  <c r="BC14" i="1"/>
  <c r="BB13" i="1"/>
  <c r="BC13" i="1"/>
  <c r="AX16" i="1"/>
  <c r="AV16" i="1"/>
  <c r="AW16" i="1"/>
  <c r="BC11" i="1"/>
  <c r="BB11" i="1"/>
  <c r="AV15" i="1"/>
  <c r="AW15" i="1"/>
  <c r="AX15" i="1"/>
  <c r="BC10" i="1"/>
  <c r="BB10" i="1"/>
  <c r="AV14" i="1"/>
  <c r="AW14" i="1"/>
  <c r="AX14" i="1"/>
  <c r="BB12" i="1"/>
  <c r="BC12" i="1"/>
  <c r="BB9" i="1"/>
  <c r="BC9" i="1"/>
  <c r="BE9" i="1" s="1"/>
  <c r="AU13" i="1"/>
  <c r="AU12" i="1"/>
  <c r="AU18" i="1"/>
  <c r="AU17" i="1"/>
  <c r="AU11" i="1"/>
  <c r="AU10" i="1"/>
  <c r="BQ10" i="1" l="1"/>
  <c r="BQ18" i="1"/>
  <c r="BE10" i="1"/>
  <c r="BK10" i="1"/>
  <c r="BW11" i="1"/>
  <c r="BQ15" i="1"/>
  <c r="BQ11" i="1"/>
  <c r="BW13" i="1"/>
  <c r="BK13" i="1"/>
  <c r="BK14" i="1"/>
  <c r="BW9" i="1"/>
  <c r="BK11" i="1"/>
  <c r="BK16" i="1"/>
  <c r="BK17" i="1"/>
  <c r="BE14" i="1"/>
  <c r="BK18" i="1"/>
  <c r="BW17" i="1"/>
  <c r="BE12" i="1"/>
  <c r="BK15" i="1"/>
  <c r="BW12" i="1"/>
  <c r="BW14" i="1"/>
  <c r="BE18" i="1"/>
  <c r="BE11" i="1"/>
  <c r="BE13" i="1"/>
  <c r="AX9" i="1"/>
  <c r="AY14" i="1"/>
  <c r="AY16" i="1"/>
  <c r="AV9" i="1"/>
  <c r="AV12" i="1"/>
  <c r="AW12" i="1"/>
  <c r="AX12" i="1"/>
  <c r="AY12" i="1" s="1"/>
  <c r="AV13" i="1"/>
  <c r="AW13" i="1"/>
  <c r="AX13" i="1"/>
  <c r="AY15" i="1"/>
  <c r="AW11" i="1"/>
  <c r="AX11" i="1"/>
  <c r="AV11" i="1"/>
  <c r="AV17" i="1"/>
  <c r="AW17" i="1"/>
  <c r="AX17" i="1"/>
  <c r="AX18" i="1"/>
  <c r="AW18" i="1"/>
  <c r="AV18" i="1"/>
  <c r="AV10" i="1"/>
  <c r="AW10" i="1"/>
  <c r="AX10" i="1"/>
  <c r="G58" i="1"/>
  <c r="E58" i="1"/>
  <c r="G57" i="1"/>
  <c r="E57" i="1"/>
  <c r="E87" i="1"/>
  <c r="G86" i="1" s="1"/>
  <c r="E86" i="1"/>
  <c r="G85" i="1" s="1"/>
  <c r="E85" i="1"/>
  <c r="G84" i="1" s="1"/>
  <c r="E84" i="1"/>
  <c r="AQ9" i="1" l="1" a="1"/>
  <c r="AQ9" i="1" s="1"/>
  <c r="AR9" i="1" s="1"/>
  <c r="AS9" i="1" s="1"/>
  <c r="AY9" i="1"/>
  <c r="AY10" i="1"/>
  <c r="AY17" i="1"/>
  <c r="AY18" i="1"/>
  <c r="AY11" i="1"/>
  <c r="AY13" i="1"/>
  <c r="AQ11" i="1" a="1"/>
  <c r="AQ11" i="1" s="1"/>
  <c r="AR11" i="1" s="1"/>
  <c r="AS11" i="1" s="1"/>
  <c r="AQ12" i="1" a="1"/>
  <c r="AQ12" i="1" s="1"/>
  <c r="AR12" i="1" s="1"/>
  <c r="AS12" i="1" s="1"/>
  <c r="AQ17" i="1" a="1"/>
  <c r="AQ17" i="1" s="1"/>
  <c r="AR17" i="1" s="1"/>
  <c r="AS17" i="1" s="1"/>
  <c r="AQ15" i="1" a="1"/>
  <c r="AQ15" i="1" s="1"/>
  <c r="AR15" i="1" s="1"/>
  <c r="AS15" i="1" s="1"/>
  <c r="AQ18" i="1" a="1"/>
  <c r="AQ18" i="1" s="1"/>
  <c r="AR18" i="1" s="1"/>
  <c r="AS18" i="1" s="1"/>
  <c r="AQ13" i="1" a="1"/>
  <c r="AQ13" i="1" s="1"/>
  <c r="AR13" i="1" s="1"/>
  <c r="AS13" i="1" s="1"/>
  <c r="AQ10" i="1" a="1"/>
  <c r="AQ10" i="1" s="1"/>
  <c r="AR10" i="1" s="1"/>
  <c r="AQ14" i="1" a="1"/>
  <c r="AQ14" i="1" s="1"/>
  <c r="AR14" i="1" s="1"/>
  <c r="AS14" i="1" s="1"/>
  <c r="AQ16" i="1" a="1"/>
  <c r="AQ16" i="1" s="1"/>
  <c r="AR16" i="1" s="1"/>
  <c r="AS16" i="1" s="1"/>
  <c r="AS10" i="1" l="1"/>
  <c r="P10" i="1" s="1"/>
  <c r="G73" i="1"/>
  <c r="G72" i="1"/>
  <c r="E73" i="1"/>
  <c r="E74" i="1"/>
  <c r="E72" i="1"/>
  <c r="G79" i="1"/>
  <c r="G78" i="1"/>
  <c r="E79" i="1"/>
  <c r="E80" i="1"/>
  <c r="E78" i="1"/>
  <c r="AM10" i="1" l="1"/>
  <c r="AN10" i="1" s="1"/>
  <c r="AO10" i="1" s="1"/>
  <c r="AM11" i="1"/>
  <c r="AN11" i="1" s="1"/>
  <c r="AO11" i="1" s="1"/>
  <c r="AM12" i="1"/>
  <c r="AN12" i="1" s="1"/>
  <c r="AO12" i="1" s="1"/>
  <c r="AM13" i="1"/>
  <c r="AN13" i="1" s="1"/>
  <c r="AO13" i="1" s="1"/>
  <c r="AM14" i="1"/>
  <c r="AN14" i="1" s="1"/>
  <c r="AO14" i="1" s="1"/>
  <c r="AM9" i="1"/>
  <c r="AM15" i="1"/>
  <c r="AN15" i="1" s="1"/>
  <c r="AO15" i="1" s="1"/>
  <c r="AM16" i="1"/>
  <c r="AN16" i="1" s="1"/>
  <c r="AO16" i="1" s="1"/>
  <c r="AM17" i="1"/>
  <c r="AN17" i="1" s="1"/>
  <c r="AO17" i="1" s="1"/>
  <c r="AM18" i="1"/>
  <c r="AN18" i="1" s="1"/>
  <c r="AO18" i="1" s="1"/>
  <c r="AI10" i="1"/>
  <c r="AJ10" i="1" s="1"/>
  <c r="AK10" i="1" s="1"/>
  <c r="AI13" i="1"/>
  <c r="AI12" i="1"/>
  <c r="AI11" i="1"/>
  <c r="AI18" i="1"/>
  <c r="AI14" i="1"/>
  <c r="AI9" i="1"/>
  <c r="AI17" i="1"/>
  <c r="AI16" i="1"/>
  <c r="AI15" i="1"/>
  <c r="G63" i="1"/>
  <c r="G65" i="1"/>
  <c r="E63" i="1"/>
  <c r="E65" i="1"/>
  <c r="E67" i="1"/>
  <c r="G59" i="1"/>
  <c r="E59" i="1"/>
  <c r="E47" i="1"/>
  <c r="E49" i="1"/>
  <c r="E51" i="1"/>
  <c r="G47" i="1"/>
  <c r="G49" i="1"/>
  <c r="R10" i="1" l="1"/>
  <c r="T10" i="1" s="1"/>
  <c r="O9" i="1"/>
  <c r="AA16" i="1"/>
  <c r="AB16" i="1" s="1"/>
  <c r="AA10" i="1"/>
  <c r="AB10" i="1" s="1"/>
  <c r="AA15" i="1"/>
  <c r="AB15" i="1" s="1"/>
  <c r="AA17" i="1"/>
  <c r="AB17" i="1" s="1"/>
  <c r="AA13" i="1"/>
  <c r="AB13" i="1" s="1"/>
  <c r="AA18" i="1"/>
  <c r="AB18" i="1" s="1"/>
  <c r="AA12" i="1"/>
  <c r="AB12" i="1" s="1"/>
  <c r="AA9" i="1"/>
  <c r="AB9" i="1" s="1"/>
  <c r="AA11" i="1"/>
  <c r="AB11" i="1" s="1"/>
  <c r="AA14" i="1"/>
  <c r="AB14" i="1" s="1"/>
  <c r="O18" i="1"/>
  <c r="O10" i="1"/>
  <c r="O16" i="1"/>
  <c r="O15" i="1"/>
  <c r="O14" i="1"/>
  <c r="O12" i="1"/>
  <c r="O13" i="1"/>
  <c r="O17" i="1"/>
  <c r="O11" i="1"/>
  <c r="AD17" i="1"/>
  <c r="AD18" i="1"/>
  <c r="AD9" i="1"/>
  <c r="AD10" i="1"/>
  <c r="AD11" i="1"/>
  <c r="AD12" i="1"/>
  <c r="AD13" i="1"/>
  <c r="AD16" i="1"/>
  <c r="AD14" i="1"/>
  <c r="AD15" i="1"/>
  <c r="R11" i="1"/>
  <c r="T11" i="1" s="1"/>
  <c r="R9" i="1"/>
  <c r="R12" i="1"/>
  <c r="R16" i="1"/>
  <c r="R13" i="1"/>
  <c r="R14" i="1"/>
  <c r="R15" i="1"/>
  <c r="R17" i="1"/>
  <c r="R18" i="1"/>
  <c r="U42" i="4"/>
  <c r="U43" i="4" s="1"/>
  <c r="U36" i="4"/>
  <c r="U37" i="4" s="1"/>
  <c r="O36" i="4"/>
  <c r="H33" i="4"/>
  <c r="G33" i="4"/>
  <c r="F33" i="4"/>
  <c r="E33" i="4"/>
  <c r="U32" i="4"/>
  <c r="H32" i="4"/>
  <c r="G32" i="4"/>
  <c r="F32" i="4"/>
  <c r="E32" i="4"/>
  <c r="H31" i="4"/>
  <c r="G31" i="4"/>
  <c r="F31" i="4"/>
  <c r="E31" i="4"/>
  <c r="U30" i="4"/>
  <c r="U31" i="4" s="1"/>
  <c r="P30" i="4"/>
  <c r="O30" i="4"/>
  <c r="U19" i="4"/>
  <c r="U18" i="4"/>
  <c r="U23" i="4" s="1"/>
  <c r="N9" i="4"/>
  <c r="F9" i="4"/>
  <c r="N8" i="4"/>
  <c r="O6" i="4"/>
  <c r="O5" i="4" s="1"/>
  <c r="N6" i="4"/>
  <c r="N5" i="4"/>
  <c r="N7" i="4" s="1"/>
  <c r="N11" i="4" s="1"/>
  <c r="S10" i="1" l="1"/>
  <c r="S16" i="1"/>
  <c r="T16" i="1"/>
  <c r="U16" i="1"/>
  <c r="V16" i="1"/>
  <c r="W16" i="1"/>
  <c r="X16" i="1"/>
  <c r="Y16" i="1" s="1"/>
  <c r="T14" i="1"/>
  <c r="U14" i="1"/>
  <c r="V14" i="1"/>
  <c r="W14" i="1"/>
  <c r="X14" i="1"/>
  <c r="Y14" i="1" s="1"/>
  <c r="S14" i="1"/>
  <c r="X9" i="1"/>
  <c r="S9" i="1"/>
  <c r="T9" i="1"/>
  <c r="U9" i="1"/>
  <c r="V9" i="1"/>
  <c r="W9" i="1"/>
  <c r="V11" i="1"/>
  <c r="W11" i="1"/>
  <c r="X11" i="1"/>
  <c r="Y11" i="1" s="1"/>
  <c r="S11" i="1"/>
  <c r="U11" i="1"/>
  <c r="V10" i="1"/>
  <c r="W10" i="1"/>
  <c r="X10" i="1"/>
  <c r="Y10" i="1" s="1"/>
  <c r="U10" i="1"/>
  <c r="U13" i="1"/>
  <c r="V13" i="1"/>
  <c r="W13" i="1"/>
  <c r="X13" i="1"/>
  <c r="Y13" i="1" s="1"/>
  <c r="S13" i="1"/>
  <c r="T13" i="1"/>
  <c r="U12" i="1"/>
  <c r="V12" i="1"/>
  <c r="W12" i="1"/>
  <c r="X12" i="1"/>
  <c r="Y12" i="1" s="1"/>
  <c r="S12" i="1"/>
  <c r="T12" i="1"/>
  <c r="X18" i="1"/>
  <c r="Y18" i="1" s="1"/>
  <c r="S18" i="1"/>
  <c r="T18" i="1"/>
  <c r="U18" i="1"/>
  <c r="V18" i="1"/>
  <c r="W18" i="1"/>
  <c r="S17" i="1"/>
  <c r="T17" i="1"/>
  <c r="U17" i="1"/>
  <c r="V17" i="1"/>
  <c r="W17" i="1"/>
  <c r="X17" i="1"/>
  <c r="Y17" i="1" s="1"/>
  <c r="T15" i="1"/>
  <c r="U15" i="1"/>
  <c r="V15" i="1"/>
  <c r="W15" i="1"/>
  <c r="X15" i="1"/>
  <c r="Y15" i="1" s="1"/>
  <c r="S15" i="1"/>
  <c r="AE15" i="1"/>
  <c r="AF15" i="1"/>
  <c r="AF14" i="1"/>
  <c r="AE14" i="1"/>
  <c r="AE16" i="1"/>
  <c r="AG16" i="1" s="1"/>
  <c r="AF16" i="1"/>
  <c r="AF13" i="1"/>
  <c r="AE13" i="1"/>
  <c r="AG13" i="1" s="1"/>
  <c r="AE12" i="1"/>
  <c r="AF12" i="1"/>
  <c r="AF11" i="1"/>
  <c r="AE11" i="1"/>
  <c r="AG11" i="1" s="1"/>
  <c r="AE10" i="1"/>
  <c r="AF10" i="1"/>
  <c r="AE9" i="1"/>
  <c r="AF9" i="1"/>
  <c r="AE18" i="1"/>
  <c r="AG18" i="1" s="1"/>
  <c r="AF18" i="1"/>
  <c r="AE17" i="1"/>
  <c r="AG17" i="1" s="1"/>
  <c r="AF17" i="1"/>
  <c r="U20" i="4"/>
  <c r="U21" i="4"/>
  <c r="U22" i="4" s="1"/>
  <c r="V23" i="4"/>
  <c r="V19" i="4"/>
  <c r="U44" i="4"/>
  <c r="V20" i="4"/>
  <c r="V21" i="4"/>
  <c r="V22" i="4" s="1"/>
  <c r="H9" i="4" s="1"/>
  <c r="H11" i="4"/>
  <c r="H5" i="4"/>
  <c r="H8" i="4"/>
  <c r="H12" i="4"/>
  <c r="H6" i="4"/>
  <c r="U38" i="4"/>
  <c r="N10" i="4"/>
  <c r="AN9" i="1"/>
  <c r="AO9" i="1" s="1"/>
  <c r="AJ13" i="1"/>
  <c r="AK13" i="1" s="1"/>
  <c r="AJ15" i="1"/>
  <c r="AK15" i="1" s="1"/>
  <c r="AJ9" i="1"/>
  <c r="AK9" i="1" s="1"/>
  <c r="AJ18" i="1"/>
  <c r="AK18" i="1" s="1"/>
  <c r="AJ11" i="1"/>
  <c r="AK11" i="1" s="1"/>
  <c r="AJ16" i="1"/>
  <c r="AK16" i="1" s="1"/>
  <c r="AJ14" i="1"/>
  <c r="AK14" i="1" s="1"/>
  <c r="AJ12" i="1"/>
  <c r="AK12" i="1" s="1"/>
  <c r="AJ17" i="1"/>
  <c r="AK17" i="1" s="1"/>
  <c r="AG10" i="1" l="1"/>
  <c r="Y9" i="1"/>
  <c r="P9" i="1" s="1"/>
  <c r="AG9" i="1"/>
  <c r="AG15" i="1"/>
  <c r="AG14" i="1"/>
  <c r="AG12" i="1"/>
  <c r="P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Ngo, Vinh-Phong N. [US-US]</author>
  </authors>
  <commentList>
    <comment ref="O36" authorId="0" shapeId="0" xr:uid="{00000000-0006-0000-0100-000001000000}">
      <text>
        <r>
          <rPr>
            <sz val="9"/>
            <color indexed="81"/>
            <rFont val="Tahoma"/>
            <family val="2"/>
          </rPr>
          <t>Estimated based on SEER of 9.7</t>
        </r>
      </text>
    </comment>
    <comment ref="E39" authorId="0" shapeId="0" xr:uid="{00000000-0006-0000-0100-000002000000}">
      <text>
        <r>
          <rPr>
            <sz val="9"/>
            <color indexed="81"/>
            <rFont val="Tahoma"/>
            <family val="2"/>
          </rPr>
          <t>No federal standard.
Assumes same efficiency requirement as adjacent capacity tier.</t>
        </r>
      </text>
    </comment>
    <comment ref="E44" authorId="0" shapeId="0" xr:uid="{00000000-0006-0000-0100-000003000000}">
      <text>
        <r>
          <rPr>
            <sz val="9"/>
            <color indexed="81"/>
            <rFont val="Tahoma"/>
            <family val="2"/>
          </rPr>
          <t>No federal standard.
Assumes same efficiency requirement as adjacent capacity tier.</t>
        </r>
      </text>
    </comment>
    <comment ref="O44" authorId="0" shapeId="0" xr:uid="{00000000-0006-0000-0100-000004000000}">
      <text>
        <r>
          <rPr>
            <sz val="9"/>
            <color indexed="81"/>
            <rFont val="Tahoma"/>
            <family val="2"/>
          </rPr>
          <t>No federal standard.
Assumes same efficiency requirement as adjacent capacity tier.</t>
        </r>
      </text>
    </comment>
  </commentList>
</comments>
</file>

<file path=xl/sharedStrings.xml><?xml version="1.0" encoding="utf-8"?>
<sst xmlns="http://schemas.openxmlformats.org/spreadsheetml/2006/main" count="372" uniqueCount="167">
  <si>
    <t>EQUIPMENT &amp; ELIGIBILITY REQUIREMENTS</t>
  </si>
  <si>
    <t>Manufacturer</t>
  </si>
  <si>
    <t>Model Number</t>
  </si>
  <si>
    <t>Quantity</t>
  </si>
  <si>
    <t>Incentive</t>
  </si>
  <si>
    <t>SFABSC111-A-44</t>
  </si>
  <si>
    <t>Type</t>
  </si>
  <si>
    <t>Packaged</t>
  </si>
  <si>
    <r>
      <t xml:space="preserve">Account Name: </t>
    </r>
    <r>
      <rPr>
        <u/>
        <sz val="11"/>
        <color theme="1"/>
        <rFont val="Calibri"/>
        <family val="2"/>
        <scheme val="minor"/>
      </rPr>
      <t xml:space="preserve"> </t>
    </r>
  </si>
  <si>
    <t>Total Incentive Requested:</t>
  </si>
  <si>
    <r>
      <t xml:space="preserve">       </t>
    </r>
    <r>
      <rPr>
        <b/>
        <sz val="10"/>
        <color theme="1"/>
        <rFont val="Calibri"/>
        <family val="2"/>
        <scheme val="minor"/>
      </rPr>
      <t>(Quantity x Cooling Capacity (tons) x Equipment Incentive per ton = Incentive)</t>
    </r>
  </si>
  <si>
    <t>Tier 1</t>
  </si>
  <si>
    <t>Tier 2</t>
  </si>
  <si>
    <t>Split</t>
  </si>
  <si>
    <t>Full Load EER</t>
  </si>
  <si>
    <t>Incentive per ton:</t>
  </si>
  <si>
    <t>Tier 1 - FL</t>
  </si>
  <si>
    <t>Tier 1 - PL</t>
  </si>
  <si>
    <t>Tier 2 - FL</t>
  </si>
  <si>
    <t>Tier 2 - PL</t>
  </si>
  <si>
    <t>Incentive qualifications:</t>
  </si>
  <si>
    <r>
      <t xml:space="preserve"> Project Name: </t>
    </r>
    <r>
      <rPr>
        <u/>
        <sz val="11"/>
        <color theme="1"/>
        <rFont val="Calibri"/>
        <family val="2"/>
        <scheme val="minor"/>
      </rPr>
      <t xml:space="preserve"> </t>
    </r>
  </si>
  <si>
    <t xml:space="preserve">  example: SuperFreeze</t>
  </si>
  <si>
    <t>Rated Capacity (tons)</t>
  </si>
  <si>
    <t>Building Type</t>
  </si>
  <si>
    <t>CF</t>
  </si>
  <si>
    <t>Misc. Commercial</t>
  </si>
  <si>
    <t>Cold Storage</t>
  </si>
  <si>
    <t>Education</t>
  </si>
  <si>
    <t>Grocery</t>
  </si>
  <si>
    <t>Health</t>
  </si>
  <si>
    <t>Hotel/Motel</t>
  </si>
  <si>
    <t>Industrial</t>
  </si>
  <si>
    <t>Office</t>
  </si>
  <si>
    <t>Restaurant</t>
  </si>
  <si>
    <t>Retail</t>
  </si>
  <si>
    <t>Warehouse</t>
  </si>
  <si>
    <t>EFLH</t>
  </si>
  <si>
    <r>
      <t xml:space="preserve">Facility Type </t>
    </r>
    <r>
      <rPr>
        <i/>
        <sz val="11"/>
        <color theme="1"/>
        <rFont val="Calibri"/>
        <family val="2"/>
        <scheme val="minor"/>
      </rPr>
      <t>(select)</t>
    </r>
    <r>
      <rPr>
        <sz val="11"/>
        <color theme="1"/>
        <rFont val="Calibri"/>
        <family val="2"/>
        <scheme val="minor"/>
      </rPr>
      <t>:</t>
    </r>
  </si>
  <si>
    <t>HVAC</t>
  </si>
  <si>
    <t>Varies</t>
  </si>
  <si>
    <t>PTAC</t>
  </si>
  <si>
    <t>PTHP</t>
  </si>
  <si>
    <t>Vertical HP</t>
  </si>
  <si>
    <t>Water Source HP</t>
  </si>
  <si>
    <t>AC/HP: Packaged/Split</t>
  </si>
  <si>
    <t>PTAC/PTHP</t>
  </si>
  <si>
    <t>Water-Source HP</t>
  </si>
  <si>
    <t>Standard *</t>
  </si>
  <si>
    <t>Non-Standard **</t>
  </si>
  <si>
    <t>Vertical HP ***</t>
  </si>
  <si>
    <t>Standard PTAC *</t>
  </si>
  <si>
    <t>Non-standard PTAC **</t>
  </si>
  <si>
    <t>Standard PTHP *</t>
  </si>
  <si>
    <t>Non-standard PTHP **</t>
  </si>
  <si>
    <t>Air Conditioning &amp; Heat Pump Savings Worksheet</t>
  </si>
  <si>
    <t>Step 1:  Enter AC nameplate data</t>
  </si>
  <si>
    <t>Step 2:  Determine if it qualifies</t>
  </si>
  <si>
    <t>Step 3:  Calculate savings against baseline</t>
  </si>
  <si>
    <t>AC types</t>
  </si>
  <si>
    <t>Enter AC type:</t>
  </si>
  <si>
    <t>Tier 1 FL:</t>
  </si>
  <si>
    <t>Base Efficiency:</t>
  </si>
  <si>
    <r>
      <t xml:space="preserve">Enter AC size </t>
    </r>
    <r>
      <rPr>
        <b/>
        <sz val="8"/>
        <color theme="1"/>
        <rFont val="Calibri"/>
        <family val="2"/>
        <scheme val="minor"/>
      </rPr>
      <t>(Btuh)</t>
    </r>
    <r>
      <rPr>
        <b/>
        <sz val="11"/>
        <color theme="1"/>
        <rFont val="Calibri"/>
        <family val="2"/>
        <scheme val="minor"/>
      </rPr>
      <t>:</t>
    </r>
  </si>
  <si>
    <t>Tier 1 PL:</t>
  </si>
  <si>
    <t>Enhanced Efficiency:</t>
  </si>
  <si>
    <t>Enter building type:</t>
  </si>
  <si>
    <t>kW/ton Delta</t>
  </si>
  <si>
    <t>Full Load Efficiency:</t>
  </si>
  <si>
    <t>EER</t>
  </si>
  <si>
    <t>Tier 2 FL:</t>
  </si>
  <si>
    <t>CF:</t>
  </si>
  <si>
    <t>Part Load Efficiency:</t>
  </si>
  <si>
    <t>Tier 2 PL:</t>
  </si>
  <si>
    <t>EFLH:</t>
  </si>
  <si>
    <t>Building type requires custom Coincidence Factor &amp; EFLH.</t>
  </si>
  <si>
    <t>kW savings:</t>
  </si>
  <si>
    <t>Coincidence Factor:</t>
  </si>
  <si>
    <t>Tier 3 FL:</t>
  </si>
  <si>
    <t>kWh/yr savings:</t>
  </si>
  <si>
    <t>Tier 3 PL:</t>
  </si>
  <si>
    <t>Incentive qualifications:  CEE Proposed Standards</t>
  </si>
  <si>
    <t>Baseline specifications:  IECC 2006 code</t>
  </si>
  <si>
    <t>Advanced Tier</t>
  </si>
  <si>
    <t xml:space="preserve"> &lt;65,000</t>
  </si>
  <si>
    <t>Capacity</t>
  </si>
  <si>
    <t>Tier 1 Cutoff</t>
  </si>
  <si>
    <t>≥65,000 &lt;135,000</t>
  </si>
  <si>
    <t>Tier 2 Cutoff</t>
  </si>
  <si>
    <t>Tier 3 Cutoff</t>
  </si>
  <si>
    <t xml:space="preserve"> ≥135,000 &lt;240,000</t>
  </si>
  <si>
    <t>Qualifying Tier</t>
  </si>
  <si>
    <t>Base EER</t>
  </si>
  <si>
    <t xml:space="preserve"> ≥240,000 &lt;760,000</t>
  </si>
  <si>
    <t xml:space="preserve"> ≥760,000</t>
  </si>
  <si>
    <t>na</t>
  </si>
  <si>
    <t>Variable Size</t>
  </si>
  <si>
    <t>&lt;7,000</t>
  </si>
  <si>
    <t>Qualifying EER</t>
  </si>
  <si>
    <r>
      <t xml:space="preserve">≥7,000 </t>
    </r>
    <r>
      <rPr>
        <sz val="11"/>
        <color theme="1"/>
        <rFont val="Calibri"/>
        <family val="2"/>
      </rPr>
      <t>≤15,000</t>
    </r>
  </si>
  <si>
    <t>&gt;15,000</t>
  </si>
  <si>
    <t>HP</t>
  </si>
  <si>
    <t>&lt;65,000</t>
  </si>
  <si>
    <t>≥135,000 &lt;240,000</t>
  </si>
  <si>
    <t>≥240,000</t>
  </si>
  <si>
    <t>&lt;17,000</t>
  </si>
  <si>
    <t>≥17,000 &lt;135,000</t>
  </si>
  <si>
    <t>≥135,000</t>
  </si>
  <si>
    <r>
      <rPr>
        <b/>
        <i/>
        <sz val="8"/>
        <color theme="1"/>
        <rFont val="Calibri"/>
        <family val="2"/>
        <scheme val="minor"/>
      </rPr>
      <t>*</t>
    </r>
    <r>
      <rPr>
        <i/>
        <sz val="8"/>
        <color theme="1"/>
        <rFont val="Calibri"/>
        <family val="2"/>
        <scheme val="minor"/>
      </rPr>
      <t xml:space="preserve"> Wall sleeve dimensions having an external wall opening </t>
    </r>
    <r>
      <rPr>
        <i/>
        <sz val="8"/>
        <color theme="1"/>
        <rFont val="Calibri"/>
        <family val="2"/>
      </rPr>
      <t>≥</t>
    </r>
    <r>
      <rPr>
        <i/>
        <sz val="8"/>
        <color theme="1"/>
        <rFont val="Calibri"/>
        <family val="2"/>
        <scheme val="minor"/>
      </rPr>
      <t xml:space="preserve"> 16 in. high or </t>
    </r>
    <r>
      <rPr>
        <i/>
        <sz val="8"/>
        <color theme="1"/>
        <rFont val="Calibri"/>
        <family val="2"/>
      </rPr>
      <t>≥</t>
    </r>
    <r>
      <rPr>
        <i/>
        <sz val="8"/>
        <color theme="1"/>
        <rFont val="Calibri"/>
        <family val="2"/>
        <scheme val="minor"/>
      </rPr>
      <t xml:space="preserve"> 42 in. wide, and cross-sectional area </t>
    </r>
    <r>
      <rPr>
        <i/>
        <sz val="8"/>
        <color theme="1"/>
        <rFont val="Calibri"/>
        <family val="2"/>
      </rPr>
      <t>≥</t>
    </r>
    <r>
      <rPr>
        <i/>
        <sz val="8"/>
        <color theme="1"/>
        <rFont val="Calibri"/>
        <family val="2"/>
        <scheme val="minor"/>
      </rPr>
      <t xml:space="preserve"> 670 sq. in. 
</t>
    </r>
    <r>
      <rPr>
        <b/>
        <i/>
        <sz val="8"/>
        <color theme="1"/>
        <rFont val="Calibri"/>
        <family val="2"/>
        <scheme val="minor"/>
      </rPr>
      <t>**</t>
    </r>
    <r>
      <rPr>
        <i/>
        <sz val="8"/>
        <color theme="1"/>
        <rFont val="Calibri"/>
        <family val="2"/>
        <scheme val="minor"/>
      </rPr>
      <t xml:space="preserve"> Wall sleeve dimensions having an external wall opening </t>
    </r>
    <r>
      <rPr>
        <i/>
        <sz val="8"/>
        <color theme="1"/>
        <rFont val="Calibri"/>
        <family val="2"/>
      </rPr>
      <t>&lt;</t>
    </r>
    <r>
      <rPr>
        <i/>
        <sz val="8"/>
        <color theme="1"/>
        <rFont val="Calibri"/>
        <family val="2"/>
        <scheme val="minor"/>
      </rPr>
      <t xml:space="preserve"> 16 in. high or &lt; 42 in. wide, and cross-sectional area &lt; 670 sq. in.
</t>
    </r>
    <r>
      <rPr>
        <b/>
        <i/>
        <sz val="8"/>
        <color theme="1"/>
        <rFont val="Calibri"/>
        <family val="2"/>
        <scheme val="minor"/>
      </rPr>
      <t>***</t>
    </r>
    <r>
      <rPr>
        <i/>
        <sz val="8"/>
        <color theme="1"/>
        <rFont val="Calibri"/>
        <family val="2"/>
        <scheme val="minor"/>
      </rPr>
      <t xml:space="preserve"> Defined as a single-packaged, air-cooled heat pump with a vertical configuration. </t>
    </r>
    <r>
      <rPr>
        <b/>
        <i/>
        <vertAlign val="superscript"/>
        <sz val="8"/>
        <color theme="1"/>
        <rFont val="Calibri"/>
        <family val="2"/>
        <scheme val="minor"/>
      </rPr>
      <t/>
    </r>
  </si>
  <si>
    <t>General Commercial Cooling Equivalent Full Load Hours (EFLH) and Coincident Factor (CF)</t>
  </si>
  <si>
    <t>The general cooling equivalent full load hours and coincidence factors were updated for the PY19 TRM. Refer to these AEG analysis files for more information: "AEG HPUC Update of Commercial Chillers - Analysis File" and "AEG HPUC EFLH and CF Analysis - Non-Holiday Weekdays."</t>
  </si>
  <si>
    <t>Table 2.  General Commercial Cooling: Equivalent Full Load Hours &amp; Coincidence Factors</t>
  </si>
  <si>
    <t>Use custom approach for entries noted as "Varies."</t>
  </si>
  <si>
    <t>Source: AEG's analysis of DOE's OpenEI load shapes using Hawai‘i-specific prototypes, weather data, and peak demand period.</t>
  </si>
  <si>
    <t>Vertical AC/HP ***</t>
  </si>
  <si>
    <r>
      <t xml:space="preserve">Vertical AC/HP </t>
    </r>
    <r>
      <rPr>
        <i/>
        <sz val="11"/>
        <color theme="1"/>
        <rFont val="Calibri"/>
        <family val="2"/>
        <scheme val="minor"/>
      </rPr>
      <t>***</t>
    </r>
  </si>
  <si>
    <r>
      <t xml:space="preserve">Size Dependent </t>
    </r>
    <r>
      <rPr>
        <vertAlign val="superscript"/>
        <sz val="11"/>
        <color theme="1"/>
        <rFont val="Calibri"/>
        <family val="2"/>
        <scheme val="minor"/>
      </rPr>
      <t>+</t>
    </r>
  </si>
  <si>
    <r>
      <t xml:space="preserve">Size Dependent </t>
    </r>
    <r>
      <rPr>
        <vertAlign val="superscript"/>
        <sz val="11"/>
        <color theme="1"/>
        <rFont val="Calibri"/>
        <family val="2"/>
        <scheme val="minor"/>
      </rPr>
      <t>++</t>
    </r>
  </si>
  <si>
    <t>Contact Hawaii Energy</t>
  </si>
  <si>
    <t>Air Source HP</t>
  </si>
  <si>
    <t>Packaged AC</t>
  </si>
  <si>
    <t>Split AC</t>
  </si>
  <si>
    <t>&lt; BTU/hr &lt;</t>
  </si>
  <si>
    <t>≤ BTU/hr &lt;</t>
  </si>
  <si>
    <t>≤ BTU/hr</t>
  </si>
  <si>
    <t xml:space="preserve"> </t>
  </si>
  <si>
    <t>Lookup</t>
  </si>
  <si>
    <t>Packaged/Split AC</t>
  </si>
  <si>
    <t>Vertical AC/HP</t>
  </si>
  <si>
    <t>Qualifying</t>
  </si>
  <si>
    <t>Air-Source HP</t>
  </si>
  <si>
    <t>Qualifying FL</t>
  </si>
  <si>
    <t>Qualifying PL</t>
  </si>
  <si>
    <t>Variable Comp. Window AC</t>
  </si>
  <si>
    <t>Capacity Category</t>
  </si>
  <si>
    <t>Base</t>
  </si>
  <si>
    <t>Incentive per unit:</t>
  </si>
  <si>
    <t>need to use ctrl+shift+enter</t>
  </si>
  <si>
    <t>Partial Load 
SEER|IEER|CEER</t>
  </si>
  <si>
    <t>Single Phase</t>
  </si>
  <si>
    <t>&lt; tons &lt;</t>
  </si>
  <si>
    <t>Three Phase</t>
  </si>
  <si>
    <t xml:space="preserve">≤ BTU/hr </t>
  </si>
  <si>
    <t>Phase</t>
  </si>
  <si>
    <t>Packaged HP</t>
  </si>
  <si>
    <t>Split HP</t>
  </si>
  <si>
    <t>≤ tons &lt;</t>
  </si>
  <si>
    <t xml:space="preserve">≤ tons </t>
  </si>
  <si>
    <t>Single Phase Packaged/Split AC</t>
  </si>
  <si>
    <t>Single Phase Packaged/Split HP</t>
  </si>
  <si>
    <t>Three Phase Packaged/Split AC</t>
  </si>
  <si>
    <t>Three Phase Packaged HP</t>
  </si>
  <si>
    <t>Three Phase Split HP</t>
  </si>
  <si>
    <t>Packaged AC &lt; 65,000 BTU/hr</t>
  </si>
  <si>
    <t>Split AC &lt; 65,000 BTU/hr</t>
  </si>
  <si>
    <t>Packaged HP &lt; 65,000 BTU/hr</t>
  </si>
  <si>
    <t>Split HP &lt; 65,000 BTU/hr</t>
  </si>
  <si>
    <t>Packaged AC &gt;= 65,000 BTU/hr</t>
  </si>
  <si>
    <t>Split AC &gt;= 65,000 BTU/hr</t>
  </si>
  <si>
    <r>
      <rPr>
        <b/>
        <i/>
        <sz val="11"/>
        <color theme="1"/>
        <rFont val="Calibri"/>
        <family val="2"/>
        <scheme val="minor"/>
      </rPr>
      <t>*</t>
    </r>
    <r>
      <rPr>
        <i/>
        <sz val="11"/>
        <color theme="1"/>
        <rFont val="Calibri"/>
        <family val="2"/>
        <scheme val="minor"/>
      </rPr>
      <t xml:space="preserve"> Wall sleeve dimensions having an external wall opening </t>
    </r>
    <r>
      <rPr>
        <i/>
        <sz val="11"/>
        <color theme="1"/>
        <rFont val="Calibri"/>
        <family val="2"/>
      </rPr>
      <t>≥</t>
    </r>
    <r>
      <rPr>
        <i/>
        <sz val="11"/>
        <color theme="1"/>
        <rFont val="Calibri"/>
        <family val="2"/>
        <scheme val="minor"/>
      </rPr>
      <t xml:space="preserve"> 16 in. high or </t>
    </r>
    <r>
      <rPr>
        <i/>
        <sz val="11"/>
        <color theme="1"/>
        <rFont val="Calibri"/>
        <family val="2"/>
      </rPr>
      <t>≥</t>
    </r>
    <r>
      <rPr>
        <i/>
        <sz val="11"/>
        <color theme="1"/>
        <rFont val="Calibri"/>
        <family val="2"/>
        <scheme val="minor"/>
      </rPr>
      <t xml:space="preserve"> 42 in. wide, and cross-sectional area </t>
    </r>
    <r>
      <rPr>
        <i/>
        <sz val="11"/>
        <color theme="1"/>
        <rFont val="Calibri"/>
        <family val="2"/>
      </rPr>
      <t>≥</t>
    </r>
    <r>
      <rPr>
        <i/>
        <sz val="11"/>
        <color theme="1"/>
        <rFont val="Calibri"/>
        <family val="2"/>
        <scheme val="minor"/>
      </rPr>
      <t xml:space="preserve"> 670 sq. in. 
</t>
    </r>
    <r>
      <rPr>
        <b/>
        <i/>
        <sz val="11"/>
        <color theme="1"/>
        <rFont val="Calibri"/>
        <family val="2"/>
        <scheme val="minor"/>
      </rPr>
      <t>**</t>
    </r>
    <r>
      <rPr>
        <i/>
        <sz val="11"/>
        <color theme="1"/>
        <rFont val="Calibri"/>
        <family val="2"/>
        <scheme val="minor"/>
      </rPr>
      <t xml:space="preserve"> Wall sleeve dimensions having an external wall opening </t>
    </r>
    <r>
      <rPr>
        <i/>
        <sz val="11"/>
        <color theme="1"/>
        <rFont val="Calibri"/>
        <family val="2"/>
      </rPr>
      <t>&lt;</t>
    </r>
    <r>
      <rPr>
        <i/>
        <sz val="11"/>
        <color theme="1"/>
        <rFont val="Calibri"/>
        <family val="2"/>
        <scheme val="minor"/>
      </rPr>
      <t xml:space="preserve"> 16 in. high or &lt; 42 in. wide, and cross-sectional area &lt; 670 sq. in.
</t>
    </r>
    <r>
      <rPr>
        <b/>
        <i/>
        <sz val="11"/>
        <color theme="1"/>
        <rFont val="Calibri"/>
        <family val="2"/>
        <scheme val="minor"/>
      </rPr>
      <t>***</t>
    </r>
    <r>
      <rPr>
        <i/>
        <sz val="11"/>
        <color theme="1"/>
        <rFont val="Calibri"/>
        <family val="2"/>
        <scheme val="minor"/>
      </rPr>
      <t xml:space="preserve"> Defined as a single-packaged, air-cooled AC or HP with a vertical configuration. 
</t>
    </r>
    <r>
      <rPr>
        <b/>
        <i/>
        <vertAlign val="superscript"/>
        <sz val="11"/>
        <color theme="1"/>
        <rFont val="Calibri"/>
        <family val="2"/>
        <scheme val="minor"/>
      </rPr>
      <t>+</t>
    </r>
    <r>
      <rPr>
        <i/>
        <sz val="11"/>
        <color theme="1"/>
        <rFont val="Calibri"/>
        <family val="2"/>
        <scheme val="minor"/>
      </rPr>
      <t xml:space="preserve"> EER = ( 14.0 − ( 0.300 × [Capacity in kBTU/h] ) ) * 1.10 
</t>
    </r>
    <r>
      <rPr>
        <b/>
        <i/>
        <vertAlign val="superscript"/>
        <sz val="11"/>
        <color theme="1"/>
        <rFont val="Calibri"/>
        <family val="2"/>
        <scheme val="minor"/>
      </rPr>
      <t>++</t>
    </r>
    <r>
      <rPr>
        <i/>
        <sz val="11"/>
        <color theme="1"/>
        <rFont val="Calibri"/>
        <family val="2"/>
        <scheme val="minor"/>
      </rPr>
      <t xml:space="preserve"> EER = ( 10.9 − ( 0.213 × [Capacity in kBTU/h] ) ) * 1.10 
</t>
    </r>
    <r>
      <rPr>
        <b/>
        <i/>
        <vertAlign val="superscript"/>
        <sz val="11"/>
        <color theme="1"/>
        <rFont val="Calibri"/>
        <family val="2"/>
        <scheme val="minor"/>
      </rPr>
      <t>+++</t>
    </r>
    <r>
      <rPr>
        <i/>
        <sz val="11"/>
        <color theme="1"/>
        <rFont val="Calibri"/>
        <family val="2"/>
        <scheme val="minor"/>
      </rPr>
      <t xml:space="preserve"> EER = ( 10.8 − ( 0.213 × [Capacity in kBTU/h] ) ) * 1.10 </t>
    </r>
  </si>
  <si>
    <t>Rated Capacity (BTU/hr)</t>
  </si>
  <si>
    <t>Tier 3</t>
  </si>
  <si>
    <t>Tier 3 - FL</t>
  </si>
  <si>
    <t>Tier 3 - PL</t>
  </si>
  <si>
    <t>Variable-speed Compressor Window AC</t>
  </si>
  <si>
    <r>
      <t xml:space="preserve">Size Dependent </t>
    </r>
    <r>
      <rPr>
        <vertAlign val="superscript"/>
        <sz val="11"/>
        <color theme="1"/>
        <rFont val="Calibri"/>
        <family val="2"/>
        <scheme val="minor"/>
      </rPr>
      <t>+++</t>
    </r>
  </si>
  <si>
    <r>
      <t xml:space="preserve">HVAC Packaged, Split System, and Window A/C Incentive Worksheet
</t>
    </r>
    <r>
      <rPr>
        <sz val="12"/>
        <color rgb="FF3F3F3F"/>
        <rFont val="Calibri"/>
        <family val="2"/>
        <scheme val="minor"/>
      </rPr>
      <t xml:space="preserve">Effective </t>
    </r>
    <r>
      <rPr>
        <sz val="12"/>
        <color rgb="FFFF0000"/>
        <rFont val="Calibri"/>
        <family val="2"/>
        <scheme val="minor"/>
      </rPr>
      <t>July 1, 2024</t>
    </r>
    <r>
      <rPr>
        <sz val="12"/>
        <color rgb="FF3F3F3F"/>
        <rFont val="Calibri"/>
        <family val="2"/>
        <scheme val="minor"/>
      </rPr>
      <t xml:space="preserve"> to </t>
    </r>
    <r>
      <rPr>
        <sz val="12"/>
        <color rgb="FFFF0000"/>
        <rFont val="Calibri"/>
        <family val="2"/>
        <scheme val="minor"/>
      </rPr>
      <t>June 30, 2025</t>
    </r>
    <r>
      <rPr>
        <sz val="12"/>
        <color rgb="FF3F3F3F"/>
        <rFont val="Calibri"/>
        <family val="2"/>
        <scheme val="minor"/>
      </rPr>
      <t>.</t>
    </r>
    <r>
      <rPr>
        <sz val="10"/>
        <color rgb="FF3F3F3F"/>
        <rFont val="Calibri"/>
        <family val="2"/>
        <scheme val="minor"/>
      </rPr>
      <t xml:space="preserve"> </t>
    </r>
    <r>
      <rPr>
        <sz val="6"/>
        <rFont val="Calibri"/>
        <family val="2"/>
        <scheme val="minor"/>
      </rPr>
      <t>(WKS_C_HVAC_AC_PY24_2ZR)</t>
    </r>
    <r>
      <rPr>
        <sz val="10"/>
        <color rgb="FF3F3F3F"/>
        <rFont val="Calibri"/>
        <family val="2"/>
        <scheme val="minor"/>
      </rPr>
      <t xml:space="preserve">
</t>
    </r>
    <r>
      <rPr>
        <i/>
        <sz val="10"/>
        <color rgb="FF3F3F3F"/>
        <rFont val="Calibri"/>
        <family val="2"/>
        <scheme val="minor"/>
      </rPr>
      <t>Hawai‘i Energy's mission is to empower island families and businesses to make smart energy choices that reduce energy consumption, save money and pursue a 100% clean energy future.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</si>
</sst>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General\ &quot;EER&quot;"/>
    <numFmt numFmtId="166" formatCode="General\ &quot;SEER&quot;"/>
    <numFmt numFmtId="167" formatCode="General\ &quot;IEER&quot;"/>
    <numFmt numFmtId="168" formatCode="&quot;$&quot;#,##0.00"/>
    <numFmt numFmtId="169" formatCode="_(* #,##0_);_(* \(#,##0\);_(* &quot;-&quot;??_);_(@_)"/>
    <numFmt numFmtId="170" formatCode="0.0\ &quot;EER&quot;"/>
    <numFmt numFmtId="171" formatCode="#,##0.000"/>
    <numFmt numFmtId="172" formatCode="General\ &quot;hours&quot;"/>
    <numFmt numFmtId="173" formatCode="0.000"/>
    <numFmt numFmtId="174" formatCode="0.000\ &quot;kW/ton&quot;"/>
    <numFmt numFmtId="175" formatCode="_(* #,##0.000_);_(* \(#,##0.000\);_(* &quot;-&quot;??_);_(@_)"/>
    <numFmt numFmtId="176" formatCode="0.0\ &quot;CEER&quot;"/>
    <numFmt numFmtId="177" formatCode="General\ &quot;SEER2&quot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0"/>
      <color rgb="FF3F3F3F"/>
      <name val="Calibri"/>
      <family val="2"/>
      <scheme val="minor"/>
    </font>
    <font>
      <sz val="8"/>
      <color rgb="FF3F3F3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3F3F3F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i/>
      <vertAlign val="superscript"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6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00BCE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348">
    <xf numFmtId="0" fontId="0" fillId="0" borderId="0" xfId="0"/>
    <xf numFmtId="0" fontId="3" fillId="0" borderId="0" xfId="0" applyFont="1" applyFill="1" applyProtection="1"/>
    <xf numFmtId="0" fontId="0" fillId="0" borderId="0" xfId="0" applyFont="1" applyProtection="1"/>
    <xf numFmtId="0" fontId="0" fillId="0" borderId="0" xfId="0" applyFont="1" applyFill="1" applyProtection="1"/>
    <xf numFmtId="0" fontId="0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indent="1"/>
    </xf>
    <xf numFmtId="0" fontId="9" fillId="0" borderId="0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 vertical="center"/>
    </xf>
    <xf numFmtId="44" fontId="15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1" fillId="7" borderId="0" xfId="0" applyFont="1" applyFill="1" applyProtection="1"/>
    <xf numFmtId="0" fontId="0" fillId="7" borderId="0" xfId="0" applyFill="1" applyProtection="1"/>
    <xf numFmtId="0" fontId="0" fillId="0" borderId="0" xfId="0" applyAlignment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2" applyFont="1" applyBorder="1" applyAlignment="1">
      <alignment vertical="center"/>
    </xf>
    <xf numFmtId="169" fontId="0" fillId="0" borderId="1" xfId="2" applyNumberFormat="1" applyFont="1" applyBorder="1" applyAlignment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7" borderId="1" xfId="0" applyFill="1" applyBorder="1" applyProtection="1"/>
    <xf numFmtId="0" fontId="17" fillId="10" borderId="1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3" fontId="0" fillId="0" borderId="26" xfId="0" applyNumberFormat="1" applyFont="1" applyBorder="1" applyAlignment="1" applyProtection="1">
      <alignment horizontal="left"/>
    </xf>
    <xf numFmtId="0" fontId="0" fillId="0" borderId="28" xfId="0" applyBorder="1" applyAlignment="1" applyProtection="1">
      <alignment horizontal="center"/>
    </xf>
    <xf numFmtId="170" fontId="0" fillId="0" borderId="5" xfId="0" applyNumberFormat="1" applyBorder="1" applyAlignment="1" applyProtection="1">
      <alignment horizontal="center"/>
    </xf>
    <xf numFmtId="170" fontId="0" fillId="0" borderId="6" xfId="0" applyNumberFormat="1" applyBorder="1" applyAlignment="1" applyProtection="1">
      <alignment horizontal="center"/>
    </xf>
    <xf numFmtId="170" fontId="0" fillId="0" borderId="7" xfId="0" applyNumberFormat="1" applyBorder="1" applyAlignment="1" applyProtection="1">
      <alignment horizontal="center"/>
    </xf>
    <xf numFmtId="0" fontId="17" fillId="6" borderId="1" xfId="0" applyFont="1" applyFill="1" applyBorder="1" applyAlignment="1" applyProtection="1">
      <alignment horizontal="center" vertical="center" wrapText="1"/>
    </xf>
    <xf numFmtId="0" fontId="0" fillId="8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70" fontId="2" fillId="0" borderId="0" xfId="2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/>
    <xf numFmtId="0" fontId="0" fillId="0" borderId="0" xfId="0" applyProtection="1"/>
    <xf numFmtId="0" fontId="0" fillId="0" borderId="34" xfId="0" applyBorder="1" applyProtection="1"/>
    <xf numFmtId="0" fontId="0" fillId="0" borderId="0" xfId="0" applyBorder="1" applyProtection="1"/>
    <xf numFmtId="0" fontId="0" fillId="0" borderId="35" xfId="0" applyBorder="1" applyProtection="1"/>
    <xf numFmtId="0" fontId="0" fillId="7" borderId="34" xfId="0" applyFill="1" applyBorder="1" applyProtection="1"/>
    <xf numFmtId="0" fontId="0" fillId="7" borderId="0" xfId="0" applyFill="1" applyBorder="1" applyProtection="1"/>
    <xf numFmtId="0" fontId="30" fillId="7" borderId="0" xfId="0" applyFont="1" applyFill="1" applyBorder="1" applyProtection="1"/>
    <xf numFmtId="0" fontId="1" fillId="7" borderId="0" xfId="0" applyFont="1" applyFill="1" applyBorder="1" applyProtection="1"/>
    <xf numFmtId="0" fontId="30" fillId="7" borderId="0" xfId="0" applyFont="1" applyFill="1" applyBorder="1" applyAlignment="1" applyProtection="1">
      <alignment horizontal="left"/>
    </xf>
    <xf numFmtId="0" fontId="0" fillId="7" borderId="35" xfId="0" applyFill="1" applyBorder="1" applyProtection="1"/>
    <xf numFmtId="0" fontId="0" fillId="8" borderId="1" xfId="0" applyFont="1" applyFill="1" applyBorder="1" applyProtection="1"/>
    <xf numFmtId="0" fontId="1" fillId="7" borderId="0" xfId="0" applyFont="1" applyFill="1" applyBorder="1" applyAlignment="1" applyProtection="1">
      <alignment horizontal="right" vertical="center"/>
    </xf>
    <xf numFmtId="0" fontId="0" fillId="12" borderId="1" xfId="0" applyFill="1" applyBorder="1" applyAlignment="1" applyProtection="1">
      <alignment horizontal="center"/>
      <protection locked="0"/>
    </xf>
    <xf numFmtId="0" fontId="1" fillId="7" borderId="0" xfId="0" applyFont="1" applyFill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164" fontId="0" fillId="7" borderId="1" xfId="0" applyNumberFormat="1" applyFill="1" applyBorder="1" applyAlignment="1" applyProtection="1">
      <alignment horizontal="center"/>
    </xf>
    <xf numFmtId="165" fontId="0" fillId="7" borderId="0" xfId="0" applyNumberFormat="1" applyFill="1" applyBorder="1" applyAlignment="1" applyProtection="1">
      <alignment horizontal="left"/>
    </xf>
    <xf numFmtId="3" fontId="0" fillId="12" borderId="1" xfId="0" applyNumberFormat="1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left"/>
    </xf>
    <xf numFmtId="171" fontId="0" fillId="7" borderId="1" xfId="2" applyNumberFormat="1" applyFont="1" applyFill="1" applyBorder="1" applyAlignment="1" applyProtection="1">
      <alignment horizontal="center"/>
    </xf>
    <xf numFmtId="164" fontId="0" fillId="12" borderId="1" xfId="0" applyNumberFormat="1" applyFill="1" applyBorder="1" applyAlignment="1" applyProtection="1">
      <alignment horizontal="center"/>
      <protection locked="0"/>
    </xf>
    <xf numFmtId="2" fontId="0" fillId="7" borderId="1" xfId="0" applyNumberFormat="1" applyFill="1" applyBorder="1" applyAlignment="1" applyProtection="1">
      <alignment horizontal="center"/>
    </xf>
    <xf numFmtId="172" fontId="0" fillId="7" borderId="1" xfId="0" applyNumberFormat="1" applyFill="1" applyBorder="1" applyAlignment="1" applyProtection="1">
      <alignment horizontal="center"/>
    </xf>
    <xf numFmtId="0" fontId="31" fillId="7" borderId="0" xfId="0" applyFont="1" applyFill="1" applyBorder="1" applyAlignment="1" applyProtection="1">
      <alignment horizontal="left"/>
    </xf>
    <xf numFmtId="173" fontId="0" fillId="7" borderId="1" xfId="0" applyNumberFormat="1" applyFill="1" applyBorder="1" applyAlignment="1" applyProtection="1">
      <alignment horizontal="center"/>
    </xf>
    <xf numFmtId="2" fontId="0" fillId="12" borderId="1" xfId="0" applyNumberFormat="1" applyFill="1" applyBorder="1" applyAlignment="1" applyProtection="1">
      <alignment horizontal="center"/>
      <protection locked="0"/>
    </xf>
    <xf numFmtId="4" fontId="0" fillId="7" borderId="1" xfId="0" applyNumberFormat="1" applyFill="1" applyBorder="1" applyAlignment="1" applyProtection="1">
      <alignment horizontal="center"/>
    </xf>
    <xf numFmtId="172" fontId="0" fillId="12" borderId="1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/>
    <xf numFmtId="0" fontId="0" fillId="7" borderId="36" xfId="0" applyFill="1" applyBorder="1" applyProtection="1"/>
    <xf numFmtId="0" fontId="0" fillId="7" borderId="37" xfId="0" applyFill="1" applyBorder="1" applyProtection="1"/>
    <xf numFmtId="0" fontId="0" fillId="7" borderId="38" xfId="0" applyFill="1" applyBorder="1" applyProtection="1"/>
    <xf numFmtId="0" fontId="0" fillId="7" borderId="39" xfId="0" applyFill="1" applyBorder="1" applyProtection="1"/>
    <xf numFmtId="0" fontId="0" fillId="7" borderId="40" xfId="0" applyFill="1" applyBorder="1" applyProtection="1"/>
    <xf numFmtId="0" fontId="0" fillId="7" borderId="40" xfId="0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 vertical="center"/>
    </xf>
    <xf numFmtId="0" fontId="0" fillId="7" borderId="15" xfId="0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horizontal="center" vertical="center"/>
    </xf>
    <xf numFmtId="0" fontId="0" fillId="7" borderId="29" xfId="0" applyFill="1" applyBorder="1" applyAlignment="1" applyProtection="1">
      <alignment horizontal="center" vertical="center"/>
    </xf>
    <xf numFmtId="0" fontId="0" fillId="7" borderId="30" xfId="0" applyFill="1" applyBorder="1" applyAlignment="1" applyProtection="1">
      <alignment horizontal="center" vertical="center"/>
    </xf>
    <xf numFmtId="0" fontId="0" fillId="7" borderId="35" xfId="0" applyFill="1" applyBorder="1" applyAlignment="1" applyProtection="1">
      <alignment horizontal="center" vertical="center"/>
    </xf>
    <xf numFmtId="165" fontId="0" fillId="7" borderId="2" xfId="0" applyNumberFormat="1" applyFill="1" applyBorder="1" applyAlignment="1" applyProtection="1">
      <alignment horizontal="center"/>
    </xf>
    <xf numFmtId="165" fontId="0" fillId="7" borderId="30" xfId="0" applyNumberFormat="1" applyFill="1" applyBorder="1" applyAlignment="1" applyProtection="1">
      <alignment horizontal="center"/>
    </xf>
    <xf numFmtId="165" fontId="0" fillId="7" borderId="29" xfId="0" applyNumberFormat="1" applyFill="1" applyBorder="1" applyAlignment="1" applyProtection="1">
      <alignment horizontal="center"/>
    </xf>
    <xf numFmtId="165" fontId="0" fillId="7" borderId="42" xfId="0" applyNumberFormat="1" applyFill="1" applyBorder="1" applyAlignment="1" applyProtection="1">
      <alignment horizontal="center"/>
    </xf>
    <xf numFmtId="165" fontId="0" fillId="7" borderId="40" xfId="0" applyNumberFormat="1" applyFill="1" applyBorder="1" applyAlignment="1" applyProtection="1">
      <alignment horizontal="center"/>
    </xf>
    <xf numFmtId="165" fontId="0" fillId="7" borderId="0" xfId="0" applyNumberFormat="1" applyFill="1" applyBorder="1" applyAlignment="1" applyProtection="1">
      <alignment horizontal="center"/>
    </xf>
    <xf numFmtId="166" fontId="0" fillId="7" borderId="40" xfId="0" applyNumberFormat="1" applyFill="1" applyBorder="1" applyAlignment="1" applyProtection="1">
      <alignment horizontal="center" vertical="center"/>
    </xf>
    <xf numFmtId="166" fontId="0" fillId="7" borderId="35" xfId="0" applyNumberFormat="1" applyFill="1" applyBorder="1" applyAlignment="1" applyProtection="1">
      <alignment horizontal="center" vertical="center"/>
    </xf>
    <xf numFmtId="167" fontId="2" fillId="7" borderId="1" xfId="0" applyNumberFormat="1" applyFont="1" applyFill="1" applyBorder="1" applyAlignment="1" applyProtection="1">
      <alignment horizontal="left" vertical="center"/>
    </xf>
    <xf numFmtId="167" fontId="2" fillId="7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Protection="1"/>
    <xf numFmtId="166" fontId="0" fillId="7" borderId="3" xfId="0" applyNumberFormat="1" applyFill="1" applyBorder="1" applyAlignment="1" applyProtection="1">
      <alignment horizontal="center"/>
    </xf>
    <xf numFmtId="166" fontId="0" fillId="7" borderId="18" xfId="0" applyNumberFormat="1" applyFill="1" applyBorder="1" applyAlignment="1" applyProtection="1">
      <alignment horizontal="center"/>
    </xf>
    <xf numFmtId="166" fontId="0" fillId="7" borderId="17" xfId="0" applyNumberFormat="1" applyFill="1" applyBorder="1" applyAlignment="1" applyProtection="1">
      <alignment horizontal="center"/>
    </xf>
    <xf numFmtId="166" fontId="0" fillId="7" borderId="31" xfId="0" applyNumberFormat="1" applyFill="1" applyBorder="1" applyAlignment="1" applyProtection="1">
      <alignment horizontal="center"/>
    </xf>
    <xf numFmtId="166" fontId="0" fillId="7" borderId="40" xfId="0" applyNumberFormat="1" applyFill="1" applyBorder="1" applyAlignment="1" applyProtection="1">
      <alignment horizontal="center"/>
    </xf>
    <xf numFmtId="166" fontId="0" fillId="7" borderId="0" xfId="0" applyNumberFormat="1" applyFill="1" applyBorder="1" applyAlignment="1" applyProtection="1">
      <alignment horizontal="center"/>
    </xf>
    <xf numFmtId="165" fontId="0" fillId="7" borderId="1" xfId="0" applyNumberFormat="1" applyFill="1" applyBorder="1" applyAlignment="1" applyProtection="1">
      <alignment horizontal="left"/>
    </xf>
    <xf numFmtId="0" fontId="0" fillId="7" borderId="1" xfId="0" applyNumberFormat="1" applyFill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165" fontId="0" fillId="7" borderId="40" xfId="0" applyNumberFormat="1" applyFill="1" applyBorder="1" applyAlignment="1" applyProtection="1">
      <alignment horizontal="center" vertical="center"/>
    </xf>
    <xf numFmtId="165" fontId="0" fillId="7" borderId="35" xfId="0" applyNumberFormat="1" applyFill="1" applyBorder="1" applyAlignment="1" applyProtection="1">
      <alignment horizontal="center" vertical="center"/>
    </xf>
    <xf numFmtId="167" fontId="2" fillId="7" borderId="40" xfId="0" applyNumberFormat="1" applyFont="1" applyFill="1" applyBorder="1" applyAlignment="1" applyProtection="1">
      <alignment horizontal="center" vertical="center"/>
    </xf>
    <xf numFmtId="167" fontId="2" fillId="7" borderId="0" xfId="0" applyNumberFormat="1" applyFont="1" applyFill="1" applyBorder="1" applyAlignment="1" applyProtection="1">
      <alignment horizontal="center" vertical="center"/>
    </xf>
    <xf numFmtId="0" fontId="2" fillId="7" borderId="1" xfId="0" applyNumberFormat="1" applyFont="1" applyFill="1" applyBorder="1" applyAlignment="1" applyProtection="1">
      <alignment horizontal="right" vertical="center"/>
    </xf>
    <xf numFmtId="165" fontId="0" fillId="7" borderId="35" xfId="0" applyNumberForma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174" fontId="0" fillId="0" borderId="0" xfId="0" applyNumberFormat="1" applyBorder="1" applyAlignment="1" applyProtection="1">
      <alignment horizontal="right"/>
    </xf>
    <xf numFmtId="167" fontId="2" fillId="7" borderId="35" xfId="0" applyNumberFormat="1" applyFont="1" applyFill="1" applyBorder="1" applyAlignment="1" applyProtection="1">
      <alignment horizontal="center" vertical="center"/>
    </xf>
    <xf numFmtId="175" fontId="0" fillId="0" borderId="0" xfId="2" applyNumberFormat="1" applyFont="1" applyBorder="1" applyAlignment="1" applyProtection="1">
      <alignment horizontal="right"/>
    </xf>
    <xf numFmtId="43" fontId="0" fillId="0" borderId="0" xfId="2" applyFont="1" applyBorder="1" applyAlignment="1" applyProtection="1">
      <alignment horizontal="right"/>
    </xf>
    <xf numFmtId="0" fontId="0" fillId="0" borderId="39" xfId="0" applyBorder="1" applyProtection="1"/>
    <xf numFmtId="0" fontId="0" fillId="0" borderId="40" xfId="0" applyBorder="1" applyProtection="1"/>
    <xf numFmtId="0" fontId="0" fillId="0" borderId="29" xfId="0" applyBorder="1" applyProtection="1"/>
    <xf numFmtId="0" fontId="0" fillId="0" borderId="30" xfId="0" applyBorder="1" applyProtection="1"/>
    <xf numFmtId="0" fontId="0" fillId="0" borderId="15" xfId="0" applyNumberFormat="1" applyBorder="1" applyAlignment="1" applyProtection="1">
      <alignment horizontal="center"/>
    </xf>
    <xf numFmtId="0" fontId="0" fillId="0" borderId="19" xfId="0" applyBorder="1" applyProtection="1"/>
    <xf numFmtId="170" fontId="0" fillId="0" borderId="43" xfId="0" applyNumberFormat="1" applyBorder="1" applyProtection="1"/>
    <xf numFmtId="170" fontId="0" fillId="0" borderId="44" xfId="0" applyNumberFormat="1" applyBorder="1" applyProtection="1"/>
    <xf numFmtId="170" fontId="0" fillId="0" borderId="40" xfId="0" applyNumberFormat="1" applyBorder="1" applyProtection="1"/>
    <xf numFmtId="170" fontId="0" fillId="0" borderId="35" xfId="0" applyNumberFormat="1" applyBorder="1" applyProtection="1"/>
    <xf numFmtId="170" fontId="0" fillId="0" borderId="0" xfId="0" applyNumberFormat="1" applyBorder="1" applyProtection="1"/>
    <xf numFmtId="0" fontId="0" fillId="0" borderId="22" xfId="0" applyFill="1" applyBorder="1" applyAlignment="1" applyProtection="1">
      <alignment horizontal="center"/>
    </xf>
    <xf numFmtId="170" fontId="0" fillId="0" borderId="13" xfId="2" applyNumberFormat="1" applyFont="1" applyFill="1" applyBorder="1" applyProtection="1"/>
    <xf numFmtId="170" fontId="0" fillId="0" borderId="14" xfId="2" applyNumberFormat="1" applyFont="1" applyFill="1" applyBorder="1" applyAlignment="1" applyProtection="1">
      <alignment horizontal="right"/>
    </xf>
    <xf numFmtId="170" fontId="0" fillId="0" borderId="14" xfId="2" applyNumberFormat="1" applyFont="1" applyFill="1" applyBorder="1" applyProtection="1"/>
    <xf numFmtId="170" fontId="0" fillId="7" borderId="1" xfId="0" applyNumberFormat="1" applyFill="1" applyBorder="1" applyAlignment="1" applyProtection="1">
      <alignment horizontal="right"/>
    </xf>
    <xf numFmtId="0" fontId="0" fillId="0" borderId="23" xfId="0" applyFill="1" applyBorder="1" applyAlignment="1" applyProtection="1">
      <alignment horizontal="center"/>
    </xf>
    <xf numFmtId="170" fontId="2" fillId="0" borderId="8" xfId="2" applyNumberFormat="1" applyFont="1" applyFill="1" applyBorder="1" applyAlignment="1" applyProtection="1">
      <alignment horizontal="right"/>
    </xf>
    <xf numFmtId="170" fontId="2" fillId="0" borderId="32" xfId="2" applyNumberFormat="1" applyFont="1" applyFill="1" applyBorder="1" applyAlignment="1" applyProtection="1">
      <alignment horizontal="right"/>
    </xf>
    <xf numFmtId="170" fontId="2" fillId="7" borderId="1" xfId="0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horizontal="center"/>
    </xf>
    <xf numFmtId="170" fontId="0" fillId="0" borderId="9" xfId="2" applyNumberFormat="1" applyFont="1" applyFill="1" applyBorder="1" applyAlignment="1" applyProtection="1">
      <alignment horizontal="right"/>
    </xf>
    <xf numFmtId="170" fontId="0" fillId="0" borderId="10" xfId="2" applyNumberFormat="1" applyFont="1" applyFill="1" applyBorder="1" applyProtection="1"/>
    <xf numFmtId="170" fontId="0" fillId="0" borderId="9" xfId="2" applyNumberFormat="1" applyFont="1" applyFill="1" applyBorder="1" applyProtection="1"/>
    <xf numFmtId="0" fontId="0" fillId="0" borderId="0" xfId="0" applyFill="1" applyBorder="1" applyProtection="1"/>
    <xf numFmtId="0" fontId="0" fillId="0" borderId="28" xfId="0" applyBorder="1" applyProtection="1"/>
    <xf numFmtId="0" fontId="0" fillId="0" borderId="22" xfId="0" applyBorder="1" applyAlignment="1" applyProtection="1">
      <alignment horizontal="center"/>
    </xf>
    <xf numFmtId="170" fontId="0" fillId="0" borderId="5" xfId="0" applyNumberFormat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170" fontId="0" fillId="0" borderId="6" xfId="0" applyNumberFormat="1" applyBorder="1" applyAlignment="1" applyProtection="1">
      <alignment horizontal="right"/>
    </xf>
    <xf numFmtId="0" fontId="0" fillId="0" borderId="24" xfId="0" applyBorder="1" applyAlignment="1" applyProtection="1">
      <alignment horizontal="center"/>
    </xf>
    <xf numFmtId="170" fontId="0" fillId="0" borderId="7" xfId="2" applyNumberFormat="1" applyFont="1" applyBorder="1" applyAlignment="1" applyProtection="1">
      <alignment horizontal="right"/>
    </xf>
    <xf numFmtId="0" fontId="0" fillId="0" borderId="45" xfId="0" applyBorder="1" applyProtection="1"/>
    <xf numFmtId="0" fontId="0" fillId="0" borderId="46" xfId="0" applyBorder="1" applyProtection="1"/>
    <xf numFmtId="0" fontId="0" fillId="0" borderId="47" xfId="0" applyBorder="1" applyProtection="1"/>
    <xf numFmtId="0" fontId="0" fillId="0" borderId="48" xfId="0" applyBorder="1" applyProtection="1"/>
    <xf numFmtId="0" fontId="0" fillId="0" borderId="4" xfId="0" applyBorder="1" applyProtection="1"/>
    <xf numFmtId="0" fontId="0" fillId="0" borderId="49" xfId="0" applyBorder="1" applyProtection="1"/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horizontal="left" vertical="center"/>
    </xf>
    <xf numFmtId="0" fontId="1" fillId="0" borderId="1" xfId="0" applyFont="1" applyBorder="1" applyAlignment="1" applyProtection="1"/>
    <xf numFmtId="0" fontId="2" fillId="0" borderId="1" xfId="0" applyFont="1" applyBorder="1" applyAlignment="1" applyProtection="1"/>
    <xf numFmtId="3" fontId="2" fillId="0" borderId="1" xfId="0" applyNumberFormat="1" applyFont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vertical="center" wrapText="1"/>
    </xf>
    <xf numFmtId="0" fontId="0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right"/>
    </xf>
    <xf numFmtId="168" fontId="0" fillId="0" borderId="0" xfId="1" applyNumberFormat="1" applyFont="1" applyFill="1" applyBorder="1" applyAlignment="1" applyProtection="1">
      <alignment horizontal="center"/>
    </xf>
    <xf numFmtId="170" fontId="0" fillId="0" borderId="1" xfId="0" applyNumberForma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4" xfId="0" applyFont="1" applyBorder="1" applyProtection="1"/>
    <xf numFmtId="3" fontId="0" fillId="0" borderId="25" xfId="0" applyNumberFormat="1" applyFill="1" applyBorder="1" applyAlignment="1" applyProtection="1">
      <alignment horizontal="right"/>
    </xf>
    <xf numFmtId="3" fontId="0" fillId="7" borderId="25" xfId="0" applyNumberFormat="1" applyFill="1" applyBorder="1" applyAlignment="1" applyProtection="1">
      <alignment horizontal="right"/>
    </xf>
    <xf numFmtId="3" fontId="0" fillId="7" borderId="26" xfId="0" applyNumberFormat="1" applyFill="1" applyBorder="1" applyAlignment="1" applyProtection="1">
      <alignment horizontal="left"/>
    </xf>
    <xf numFmtId="173" fontId="0" fillId="7" borderId="25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0" fontId="17" fillId="9" borderId="11" xfId="0" applyFont="1" applyFill="1" applyBorder="1" applyAlignment="1" applyProtection="1">
      <alignment horizontal="center"/>
    </xf>
    <xf numFmtId="173" fontId="0" fillId="7" borderId="26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/>
    <xf numFmtId="3" fontId="0" fillId="0" borderId="26" xfId="0" applyNumberFormat="1" applyFill="1" applyBorder="1" applyAlignment="1" applyProtection="1">
      <alignment horizontal="left"/>
    </xf>
    <xf numFmtId="173" fontId="0" fillId="0" borderId="25" xfId="0" applyNumberFormat="1" applyFont="1" applyBorder="1" applyAlignment="1" applyProtection="1">
      <alignment horizontal="right" vertical="center"/>
    </xf>
    <xf numFmtId="173" fontId="0" fillId="0" borderId="26" xfId="0" applyNumberFormat="1" applyFont="1" applyBorder="1" applyAlignment="1" applyProtection="1">
      <alignment horizontal="left" vertical="center"/>
    </xf>
    <xf numFmtId="170" fontId="0" fillId="0" borderId="11" xfId="0" applyNumberFormat="1" applyBorder="1" applyAlignment="1" applyProtection="1">
      <alignment horizontal="center"/>
    </xf>
    <xf numFmtId="167" fontId="2" fillId="7" borderId="51" xfId="0" applyNumberFormat="1" applyFont="1" applyFill="1" applyBorder="1" applyAlignment="1" applyProtection="1">
      <alignment horizontal="center" vertical="center"/>
    </xf>
    <xf numFmtId="173" fontId="0" fillId="7" borderId="26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26" xfId="0" applyFont="1" applyBorder="1" applyAlignment="1" applyProtection="1">
      <alignment horizontal="left" vertical="center"/>
    </xf>
    <xf numFmtId="0" fontId="0" fillId="7" borderId="26" xfId="0" applyFont="1" applyFill="1" applyBorder="1" applyAlignment="1" applyProtection="1">
      <alignment horizontal="left" vertical="center"/>
    </xf>
    <xf numFmtId="0" fontId="0" fillId="7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168" fontId="0" fillId="0" borderId="0" xfId="1" applyNumberFormat="1" applyFont="1" applyBorder="1" applyAlignment="1" applyProtection="1">
      <alignment horizontal="center"/>
    </xf>
    <xf numFmtId="0" fontId="0" fillId="7" borderId="1" xfId="0" applyFont="1" applyFill="1" applyBorder="1" applyProtection="1"/>
    <xf numFmtId="3" fontId="0" fillId="0" borderId="27" xfId="0" applyNumberFormat="1" applyFill="1" applyBorder="1" applyAlignment="1" applyProtection="1">
      <alignment horizontal="left"/>
    </xf>
    <xf numFmtId="3" fontId="0" fillId="0" borderId="27" xfId="0" applyNumberFormat="1" applyFont="1" applyBorder="1" applyAlignment="1" applyProtection="1">
      <alignment horizontal="left"/>
    </xf>
    <xf numFmtId="2" fontId="0" fillId="0" borderId="27" xfId="0" applyNumberFormat="1" applyFont="1" applyBorder="1" applyAlignment="1" applyProtection="1">
      <alignment horizontal="left" vertical="center"/>
    </xf>
    <xf numFmtId="173" fontId="0" fillId="0" borderId="27" xfId="0" applyNumberFormat="1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168" fontId="0" fillId="0" borderId="1" xfId="1" applyNumberFormat="1" applyFont="1" applyBorder="1" applyAlignment="1" applyProtection="1">
      <alignment horizontal="center"/>
    </xf>
    <xf numFmtId="0" fontId="17" fillId="9" borderId="1" xfId="0" applyFont="1" applyFill="1" applyBorder="1" applyAlignment="1" applyProtection="1">
      <alignment horizontal="center" vertical="center"/>
    </xf>
    <xf numFmtId="0" fontId="0" fillId="7" borderId="0" xfId="0" applyFont="1" applyFill="1" applyBorder="1" applyAlignment="1" applyProtection="1">
      <alignment horizontal="right" vertical="center"/>
    </xf>
    <xf numFmtId="0" fontId="0" fillId="7" borderId="0" xfId="0" applyFont="1" applyFill="1" applyBorder="1" applyAlignment="1" applyProtection="1">
      <alignment horizontal="left" vertical="center"/>
    </xf>
    <xf numFmtId="0" fontId="0" fillId="7" borderId="0" xfId="0" applyFill="1" applyBorder="1" applyAlignment="1" applyProtection="1">
      <alignment horizontal="right" vertical="center"/>
    </xf>
    <xf numFmtId="0" fontId="0" fillId="7" borderId="0" xfId="0" applyFill="1" applyBorder="1" applyAlignment="1" applyProtection="1">
      <alignment horizontal="left" vertical="center"/>
    </xf>
    <xf numFmtId="0" fontId="0" fillId="7" borderId="0" xfId="0" applyNumberFormat="1" applyFont="1" applyFill="1" applyBorder="1" applyAlignment="1" applyProtection="1">
      <alignment horizontal="right" vertical="center"/>
    </xf>
    <xf numFmtId="170" fontId="0" fillId="0" borderId="1" xfId="2" applyNumberFormat="1" applyFont="1" applyFill="1" applyBorder="1" applyAlignment="1" applyProtection="1">
      <alignment horizontal="center" vertical="center"/>
    </xf>
    <xf numFmtId="0" fontId="17" fillId="9" borderId="34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</xf>
    <xf numFmtId="2" fontId="0" fillId="0" borderId="0" xfId="0" applyNumberFormat="1" applyFont="1" applyProtection="1"/>
    <xf numFmtId="0" fontId="23" fillId="0" borderId="0" xfId="0" applyFont="1" applyBorder="1" applyAlignment="1" applyProtection="1">
      <alignment horizontal="left" vertical="top" wrapText="1"/>
    </xf>
    <xf numFmtId="165" fontId="2" fillId="0" borderId="11" xfId="0" applyNumberFormat="1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 applyProtection="1">
      <alignment horizontal="center" vertical="center"/>
    </xf>
    <xf numFmtId="0" fontId="16" fillId="8" borderId="1" xfId="0" applyFont="1" applyFill="1" applyBorder="1" applyAlignment="1" applyProtection="1">
      <alignment horizontal="center"/>
    </xf>
    <xf numFmtId="2" fontId="16" fillId="8" borderId="1" xfId="2" applyNumberFormat="1" applyFont="1" applyFill="1" applyBorder="1" applyAlignment="1" applyProtection="1">
      <alignment horizontal="center"/>
    </xf>
    <xf numFmtId="4" fontId="16" fillId="8" borderId="1" xfId="2" applyNumberFormat="1" applyFont="1" applyFill="1" applyBorder="1" applyAlignment="1" applyProtection="1">
      <alignment horizontal="center"/>
    </xf>
    <xf numFmtId="164" fontId="16" fillId="8" borderId="1" xfId="0" applyNumberFormat="1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/>
      <protection locked="0"/>
    </xf>
    <xf numFmtId="2" fontId="7" fillId="5" borderId="1" xfId="2" applyNumberFormat="1" applyFont="1" applyFill="1" applyBorder="1" applyAlignment="1" applyProtection="1">
      <alignment horizontal="center"/>
      <protection locked="0"/>
    </xf>
    <xf numFmtId="4" fontId="7" fillId="5" borderId="1" xfId="2" applyNumberFormat="1" applyFont="1" applyFill="1" applyBorder="1" applyAlignment="1" applyProtection="1">
      <alignment horizontal="center"/>
      <protection locked="0"/>
    </xf>
    <xf numFmtId="4" fontId="35" fillId="5" borderId="1" xfId="2" applyNumberFormat="1" applyFont="1" applyFill="1" applyBorder="1" applyAlignment="1" applyProtection="1">
      <alignment horizontal="center"/>
      <protection locked="0"/>
    </xf>
    <xf numFmtId="44" fontId="7" fillId="8" borderId="1" xfId="0" applyNumberFormat="1" applyFont="1" applyFill="1" applyBorder="1" applyAlignment="1" applyProtection="1">
      <alignment horizont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8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7" fillId="9" borderId="25" xfId="0" applyFont="1" applyFill="1" applyBorder="1" applyAlignment="1" applyProtection="1">
      <alignment horizontal="center"/>
    </xf>
    <xf numFmtId="0" fontId="17" fillId="9" borderId="27" xfId="0" applyFont="1" applyFill="1" applyBorder="1" applyAlignment="1" applyProtection="1">
      <alignment horizontal="center"/>
    </xf>
    <xf numFmtId="0" fontId="23" fillId="0" borderId="33" xfId="0" applyFont="1" applyBorder="1" applyAlignment="1" applyProtection="1">
      <alignment horizontal="left" vertical="top" wrapText="1"/>
    </xf>
    <xf numFmtId="0" fontId="2" fillId="0" borderId="25" xfId="0" applyFont="1" applyFill="1" applyBorder="1" applyAlignment="1" applyProtection="1">
      <alignment horizontal="center"/>
    </xf>
    <xf numFmtId="0" fontId="2" fillId="0" borderId="26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176" fontId="0" fillId="0" borderId="25" xfId="0" applyNumberFormat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center"/>
    </xf>
    <xf numFmtId="168" fontId="0" fillId="0" borderId="25" xfId="1" applyNumberFormat="1" applyFont="1" applyBorder="1" applyAlignment="1" applyProtection="1">
      <alignment horizontal="center"/>
    </xf>
    <xf numFmtId="168" fontId="0" fillId="0" borderId="27" xfId="1" applyNumberFormat="1" applyFont="1" applyBorder="1" applyAlignment="1" applyProtection="1">
      <alignment horizontal="center"/>
    </xf>
    <xf numFmtId="0" fontId="17" fillId="9" borderId="1" xfId="0" applyFont="1" applyFill="1" applyBorder="1" applyAlignment="1" applyProtection="1">
      <alignment horizontal="center"/>
    </xf>
    <xf numFmtId="168" fontId="0" fillId="0" borderId="26" xfId="1" applyNumberFormat="1" applyFont="1" applyBorder="1" applyAlignment="1" applyProtection="1">
      <alignment horizontal="center"/>
    </xf>
    <xf numFmtId="173" fontId="0" fillId="0" borderId="12" xfId="0" applyNumberFormat="1" applyFont="1" applyBorder="1" applyAlignment="1" applyProtection="1">
      <alignment horizontal="right" vertical="center"/>
    </xf>
    <xf numFmtId="173" fontId="0" fillId="0" borderId="48" xfId="0" applyNumberFormat="1" applyFont="1" applyBorder="1" applyAlignment="1" applyProtection="1">
      <alignment horizontal="right" vertical="center"/>
    </xf>
    <xf numFmtId="173" fontId="0" fillId="0" borderId="33" xfId="0" applyNumberFormat="1" applyFont="1" applyBorder="1" applyAlignment="1" applyProtection="1">
      <alignment horizontal="right" vertical="center"/>
    </xf>
    <xf numFmtId="173" fontId="0" fillId="0" borderId="4" xfId="0" applyNumberFormat="1" applyFont="1" applyBorder="1" applyAlignment="1" applyProtection="1">
      <alignment horizontal="right" vertical="center"/>
    </xf>
    <xf numFmtId="165" fontId="0" fillId="7" borderId="12" xfId="0" applyNumberFormat="1" applyFill="1" applyBorder="1" applyAlignment="1" applyProtection="1">
      <alignment horizontal="center" vertical="center"/>
    </xf>
    <xf numFmtId="165" fontId="0" fillId="7" borderId="50" xfId="0" applyNumberFormat="1" applyFill="1" applyBorder="1" applyAlignment="1" applyProtection="1">
      <alignment horizontal="center" vertical="center"/>
    </xf>
    <xf numFmtId="167" fontId="2" fillId="7" borderId="48" xfId="0" applyNumberFormat="1" applyFont="1" applyFill="1" applyBorder="1" applyAlignment="1" applyProtection="1">
      <alignment horizontal="center" vertical="center"/>
    </xf>
    <xf numFmtId="167" fontId="2" fillId="7" borderId="49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/>
      <protection locked="0"/>
    </xf>
    <xf numFmtId="0" fontId="17" fillId="9" borderId="1" xfId="0" applyFont="1" applyFill="1" applyBorder="1" applyAlignment="1" applyProtection="1">
      <alignment horizontal="center" vertical="center"/>
    </xf>
    <xf numFmtId="0" fontId="17" fillId="9" borderId="25" xfId="0" applyFont="1" applyFill="1" applyBorder="1" applyAlignment="1" applyProtection="1">
      <alignment horizontal="center" vertical="center"/>
    </xf>
    <xf numFmtId="0" fontId="17" fillId="9" borderId="27" xfId="0" applyFont="1" applyFill="1" applyBorder="1" applyAlignment="1" applyProtection="1">
      <alignment horizontal="center" vertical="center"/>
    </xf>
    <xf numFmtId="173" fontId="0" fillId="0" borderId="33" xfId="0" applyNumberFormat="1" applyFont="1" applyBorder="1" applyAlignment="1" applyProtection="1">
      <alignment horizontal="left" vertical="center"/>
    </xf>
    <xf numFmtId="173" fontId="0" fillId="0" borderId="4" xfId="0" applyNumberFormat="1" applyFont="1" applyBorder="1" applyAlignment="1" applyProtection="1">
      <alignment horizontal="left" vertical="center"/>
    </xf>
    <xf numFmtId="0" fontId="0" fillId="7" borderId="50" xfId="0" applyFill="1" applyBorder="1" applyAlignment="1" applyProtection="1">
      <alignment horizontal="left" vertical="center"/>
    </xf>
    <xf numFmtId="0" fontId="0" fillId="7" borderId="49" xfId="0" applyFill="1" applyBorder="1" applyAlignment="1" applyProtection="1">
      <alignment horizontal="left" vertical="center"/>
    </xf>
    <xf numFmtId="177" fontId="0" fillId="7" borderId="12" xfId="0" applyNumberFormat="1" applyFill="1" applyBorder="1" applyAlignment="1" applyProtection="1">
      <alignment horizontal="center" vertical="center"/>
    </xf>
    <xf numFmtId="177" fontId="0" fillId="7" borderId="50" xfId="0" applyNumberFormat="1" applyFill="1" applyBorder="1" applyAlignment="1" applyProtection="1">
      <alignment horizontal="center" vertical="center"/>
    </xf>
    <xf numFmtId="177" fontId="0" fillId="7" borderId="48" xfId="0" applyNumberFormat="1" applyFill="1" applyBorder="1" applyAlignment="1" applyProtection="1">
      <alignment horizontal="center" vertical="center"/>
    </xf>
    <xf numFmtId="177" fontId="0" fillId="7" borderId="49" xfId="0" applyNumberForma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6" fillId="8" borderId="1" xfId="0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left" vertical="top" wrapText="1"/>
    </xf>
    <xf numFmtId="0" fontId="4" fillId="0" borderId="20" xfId="0" applyFont="1" applyBorder="1" applyAlignment="1" applyProtection="1">
      <alignment horizontal="left" vertical="top" wrapText="1"/>
    </xf>
    <xf numFmtId="0" fontId="4" fillId="0" borderId="21" xfId="0" applyFont="1" applyBorder="1" applyAlignment="1" applyProtection="1">
      <alignment horizontal="left" vertical="top" wrapText="1"/>
    </xf>
    <xf numFmtId="0" fontId="0" fillId="5" borderId="4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 vertical="center"/>
    </xf>
    <xf numFmtId="3" fontId="0" fillId="0" borderId="12" xfId="0" applyNumberFormat="1" applyFont="1" applyBorder="1" applyAlignment="1" applyProtection="1">
      <alignment horizontal="right" vertical="center"/>
    </xf>
    <xf numFmtId="3" fontId="0" fillId="0" borderId="48" xfId="0" applyNumberFormat="1" applyFont="1" applyBorder="1" applyAlignment="1" applyProtection="1">
      <alignment horizontal="right" vertical="center"/>
    </xf>
    <xf numFmtId="0" fontId="0" fillId="7" borderId="12" xfId="0" applyNumberFormat="1" applyFont="1" applyFill="1" applyBorder="1" applyAlignment="1" applyProtection="1">
      <alignment horizontal="right" vertical="center"/>
    </xf>
    <xf numFmtId="0" fontId="0" fillId="7" borderId="48" xfId="0" applyNumberFormat="1" applyFont="1" applyFill="1" applyBorder="1" applyAlignment="1" applyProtection="1">
      <alignment horizontal="right" vertical="center"/>
    </xf>
    <xf numFmtId="0" fontId="0" fillId="7" borderId="33" xfId="0" applyFill="1" applyBorder="1" applyAlignment="1" applyProtection="1">
      <alignment horizontal="center" vertical="center"/>
    </xf>
    <xf numFmtId="0" fontId="0" fillId="7" borderId="4" xfId="0" applyFill="1" applyBorder="1" applyAlignment="1" applyProtection="1">
      <alignment horizontal="center" vertical="center"/>
    </xf>
    <xf numFmtId="3" fontId="0" fillId="7" borderId="50" xfId="0" applyNumberFormat="1" applyFill="1" applyBorder="1" applyAlignment="1" applyProtection="1">
      <alignment horizontal="left" vertical="center"/>
    </xf>
    <xf numFmtId="0" fontId="0" fillId="7" borderId="12" xfId="0" applyFill="1" applyBorder="1" applyAlignment="1" applyProtection="1">
      <alignment horizontal="right" vertical="center"/>
    </xf>
    <xf numFmtId="0" fontId="0" fillId="7" borderId="48" xfId="0" applyFill="1" applyBorder="1" applyAlignment="1" applyProtection="1">
      <alignment horizontal="right" vertical="center"/>
    </xf>
    <xf numFmtId="0" fontId="11" fillId="2" borderId="25" xfId="0" applyFont="1" applyFill="1" applyBorder="1" applyAlignment="1" applyProtection="1">
      <alignment horizontal="right" vertical="center" wrapText="1"/>
    </xf>
    <xf numFmtId="0" fontId="11" fillId="2" borderId="26" xfId="0" applyFont="1" applyFill="1" applyBorder="1" applyAlignment="1" applyProtection="1">
      <alignment horizontal="right" vertical="center" wrapText="1"/>
    </xf>
    <xf numFmtId="0" fontId="11" fillId="2" borderId="27" xfId="0" applyFont="1" applyFill="1" applyBorder="1" applyAlignment="1" applyProtection="1">
      <alignment horizontal="right" vertical="center" wrapText="1"/>
    </xf>
    <xf numFmtId="3" fontId="0" fillId="0" borderId="12" xfId="0" applyNumberFormat="1" applyFill="1" applyBorder="1" applyAlignment="1" applyProtection="1">
      <alignment horizontal="right" vertical="center"/>
    </xf>
    <xf numFmtId="3" fontId="0" fillId="0" borderId="48" xfId="0" applyNumberFormat="1" applyFill="1" applyBorder="1" applyAlignment="1" applyProtection="1">
      <alignment horizontal="right" vertical="center"/>
    </xf>
    <xf numFmtId="0" fontId="32" fillId="0" borderId="33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/>
    </xf>
    <xf numFmtId="3" fontId="0" fillId="0" borderId="50" xfId="0" applyNumberFormat="1" applyFill="1" applyBorder="1" applyAlignment="1" applyProtection="1">
      <alignment horizontal="left" vertical="center"/>
    </xf>
    <xf numFmtId="3" fontId="0" fillId="0" borderId="49" xfId="0" applyNumberFormat="1" applyFill="1" applyBorder="1" applyAlignment="1" applyProtection="1">
      <alignment horizontal="left" vertical="center"/>
    </xf>
    <xf numFmtId="2" fontId="0" fillId="0" borderId="33" xfId="0" applyNumberFormat="1" applyFont="1" applyBorder="1" applyAlignment="1" applyProtection="1">
      <alignment horizontal="left" vertical="center"/>
    </xf>
    <xf numFmtId="2" fontId="0" fillId="0" borderId="4" xfId="0" applyNumberFormat="1" applyFont="1" applyBorder="1" applyAlignment="1" applyProtection="1">
      <alignment horizontal="left" vertical="center"/>
    </xf>
    <xf numFmtId="168" fontId="0" fillId="0" borderId="1" xfId="1" applyNumberFormat="1" applyFont="1" applyBorder="1" applyAlignment="1" applyProtection="1">
      <alignment horizontal="center"/>
    </xf>
    <xf numFmtId="165" fontId="0" fillId="7" borderId="11" xfId="0" applyNumberFormat="1" applyFill="1" applyBorder="1" applyAlignment="1" applyProtection="1">
      <alignment horizontal="center" vertical="center"/>
    </xf>
    <xf numFmtId="165" fontId="0" fillId="7" borderId="51" xfId="0" applyNumberFormat="1" applyFill="1" applyBorder="1" applyAlignment="1" applyProtection="1">
      <alignment horizontal="center" vertical="center"/>
    </xf>
    <xf numFmtId="0" fontId="0" fillId="0" borderId="33" xfId="0" applyNumberFormat="1" applyFont="1" applyBorder="1" applyAlignment="1" applyProtection="1">
      <alignment horizontal="center" vertical="center"/>
    </xf>
    <xf numFmtId="0" fontId="0" fillId="0" borderId="4" xfId="0" applyNumberFormat="1" applyFont="1" applyBorder="1" applyAlignment="1" applyProtection="1">
      <alignment horizontal="center" vertical="center"/>
    </xf>
    <xf numFmtId="3" fontId="0" fillId="0" borderId="0" xfId="0" applyNumberFormat="1" applyFont="1" applyBorder="1" applyAlignment="1" applyProtection="1">
      <alignment horizontal="left" vertical="center"/>
    </xf>
    <xf numFmtId="3" fontId="0" fillId="0" borderId="4" xfId="0" applyNumberFormat="1" applyFont="1" applyBorder="1" applyAlignment="1" applyProtection="1">
      <alignment horizontal="left" vertical="center"/>
    </xf>
    <xf numFmtId="177" fontId="0" fillId="7" borderId="11" xfId="0" applyNumberFormat="1" applyFill="1" applyBorder="1" applyAlignment="1" applyProtection="1">
      <alignment horizontal="center" vertical="center"/>
    </xf>
    <xf numFmtId="177" fontId="0" fillId="7" borderId="51" xfId="0" applyNumberFormat="1" applyFill="1" applyBorder="1" applyAlignment="1" applyProtection="1">
      <alignment horizontal="center" vertical="center"/>
    </xf>
    <xf numFmtId="3" fontId="0" fillId="0" borderId="33" xfId="0" applyNumberFormat="1" applyFont="1" applyBorder="1" applyAlignment="1" applyProtection="1">
      <alignment horizontal="left" vertical="center"/>
    </xf>
    <xf numFmtId="3" fontId="0" fillId="0" borderId="50" xfId="0" applyNumberFormat="1" applyFont="1" applyBorder="1" applyAlignment="1" applyProtection="1">
      <alignment horizontal="right" vertical="center"/>
    </xf>
    <xf numFmtId="3" fontId="0" fillId="0" borderId="49" xfId="0" applyNumberFormat="1" applyFont="1" applyBorder="1" applyAlignment="1" applyProtection="1">
      <alignment horizontal="right" vertical="center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11" fillId="2" borderId="27" xfId="0" applyFont="1" applyFill="1" applyBorder="1" applyAlignment="1" applyProtection="1">
      <alignment horizontal="center" vertical="center" wrapText="1"/>
    </xf>
    <xf numFmtId="3" fontId="0" fillId="7" borderId="12" xfId="0" applyNumberFormat="1" applyFont="1" applyFill="1" applyBorder="1" applyAlignment="1" applyProtection="1">
      <alignment horizontal="right" vertical="center"/>
    </xf>
    <xf numFmtId="0" fontId="0" fillId="7" borderId="48" xfId="0" applyFont="1" applyFill="1" applyBorder="1" applyAlignment="1" applyProtection="1">
      <alignment horizontal="right" vertical="center"/>
    </xf>
    <xf numFmtId="0" fontId="0" fillId="7" borderId="33" xfId="0" applyFont="1" applyFill="1" applyBorder="1" applyAlignment="1" applyProtection="1">
      <alignment horizontal="right" vertical="center"/>
    </xf>
    <xf numFmtId="0" fontId="0" fillId="7" borderId="4" xfId="0" applyFont="1" applyFill="1" applyBorder="1" applyAlignment="1" applyProtection="1">
      <alignment horizontal="right" vertical="center"/>
    </xf>
    <xf numFmtId="3" fontId="0" fillId="7" borderId="50" xfId="0" applyNumberFormat="1" applyFont="1" applyFill="1" applyBorder="1" applyAlignment="1" applyProtection="1">
      <alignment horizontal="left" vertical="center"/>
    </xf>
    <xf numFmtId="0" fontId="0" fillId="7" borderId="49" xfId="0" applyFont="1" applyFill="1" applyBorder="1" applyAlignment="1" applyProtection="1">
      <alignment horizontal="left" vertical="center"/>
    </xf>
    <xf numFmtId="0" fontId="17" fillId="9" borderId="48" xfId="0" applyFont="1" applyFill="1" applyBorder="1" applyAlignment="1" applyProtection="1">
      <alignment horizontal="center" vertical="center"/>
    </xf>
    <xf numFmtId="0" fontId="17" fillId="9" borderId="4" xfId="0" applyFont="1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 vertical="center"/>
    </xf>
    <xf numFmtId="166" fontId="0" fillId="7" borderId="29" xfId="0" applyNumberFormat="1" applyFill="1" applyBorder="1" applyAlignment="1" applyProtection="1">
      <alignment horizontal="center" vertical="center"/>
    </xf>
    <xf numFmtId="166" fontId="0" fillId="7" borderId="17" xfId="0" applyNumberFormat="1" applyFill="1" applyBorder="1" applyAlignment="1" applyProtection="1">
      <alignment horizontal="center" vertical="center"/>
    </xf>
    <xf numFmtId="166" fontId="0" fillId="7" borderId="30" xfId="0" applyNumberFormat="1" applyFill="1" applyBorder="1" applyAlignment="1" applyProtection="1">
      <alignment horizontal="center" vertical="center"/>
    </xf>
    <xf numFmtId="166" fontId="0" fillId="7" borderId="18" xfId="0" applyNumberFormat="1" applyFill="1" applyBorder="1" applyAlignment="1" applyProtection="1">
      <alignment horizontal="center" vertical="center"/>
    </xf>
    <xf numFmtId="0" fontId="29" fillId="11" borderId="25" xfId="0" applyFont="1" applyFill="1" applyBorder="1" applyAlignment="1" applyProtection="1">
      <alignment horizontal="center"/>
    </xf>
    <xf numFmtId="0" fontId="29" fillId="11" borderId="26" xfId="0" applyFont="1" applyFill="1" applyBorder="1" applyAlignment="1" applyProtection="1">
      <alignment horizontal="center"/>
    </xf>
    <xf numFmtId="0" fontId="29" fillId="11" borderId="27" xfId="0" applyFont="1" applyFill="1" applyBorder="1" applyAlignment="1" applyProtection="1">
      <alignment horizontal="center"/>
    </xf>
    <xf numFmtId="0" fontId="0" fillId="7" borderId="22" xfId="0" applyFill="1" applyBorder="1" applyAlignment="1" applyProtection="1">
      <alignment horizontal="center" vertical="center"/>
    </xf>
    <xf numFmtId="0" fontId="0" fillId="7" borderId="41" xfId="0" applyFill="1" applyBorder="1" applyAlignment="1" applyProtection="1">
      <alignment horizontal="center" vertical="center"/>
    </xf>
    <xf numFmtId="0" fontId="17" fillId="10" borderId="1" xfId="0" applyFont="1" applyFill="1" applyBorder="1" applyAlignment="1" applyProtection="1">
      <alignment horizontal="center"/>
    </xf>
    <xf numFmtId="165" fontId="0" fillId="7" borderId="2" xfId="0" applyNumberFormat="1" applyFill="1" applyBorder="1" applyAlignment="1" applyProtection="1">
      <alignment horizontal="center" vertical="center"/>
    </xf>
    <xf numFmtId="165" fontId="0" fillId="7" borderId="42" xfId="0" applyNumberFormat="1" applyFill="1" applyBorder="1" applyAlignment="1" applyProtection="1">
      <alignment horizontal="center" vertical="center"/>
    </xf>
    <xf numFmtId="165" fontId="0" fillId="7" borderId="3" xfId="0" applyNumberFormat="1" applyFill="1" applyBorder="1" applyAlignment="1" applyProtection="1">
      <alignment horizontal="center" vertical="center"/>
    </xf>
    <xf numFmtId="165" fontId="0" fillId="7" borderId="31" xfId="0" applyNumberFormat="1" applyFill="1" applyBorder="1" applyAlignment="1" applyProtection="1">
      <alignment horizontal="center" vertical="center"/>
    </xf>
    <xf numFmtId="167" fontId="2" fillId="7" borderId="3" xfId="0" applyNumberFormat="1" applyFont="1" applyFill="1" applyBorder="1" applyAlignment="1" applyProtection="1">
      <alignment horizontal="center" vertical="center"/>
    </xf>
    <xf numFmtId="167" fontId="2" fillId="7" borderId="31" xfId="0" applyNumberFormat="1" applyFont="1" applyFill="1" applyBorder="1" applyAlignment="1" applyProtection="1">
      <alignment horizontal="center" vertical="center"/>
    </xf>
    <xf numFmtId="165" fontId="0" fillId="7" borderId="2" xfId="0" applyNumberFormat="1" applyFill="1" applyBorder="1" applyAlignment="1" applyProtection="1">
      <alignment horizontal="center"/>
    </xf>
    <xf numFmtId="165" fontId="0" fillId="7" borderId="42" xfId="0" applyNumberFormat="1" applyFill="1" applyBorder="1" applyAlignment="1" applyProtection="1">
      <alignment horizontal="center"/>
    </xf>
    <xf numFmtId="165" fontId="17" fillId="10" borderId="1" xfId="0" applyNumberFormat="1" applyFont="1" applyFill="1" applyBorder="1" applyAlignment="1" applyProtection="1">
      <alignment horizontal="center"/>
    </xf>
    <xf numFmtId="0" fontId="25" fillId="0" borderId="33" xfId="0" applyFont="1" applyBorder="1" applyAlignment="1" applyProtection="1">
      <alignment horizontal="left" vertical="top" wrapText="1"/>
    </xf>
    <xf numFmtId="0" fontId="0" fillId="7" borderId="42" xfId="0" applyFill="1" applyBorder="1" applyAlignment="1" applyProtection="1">
      <alignment horizontal="center" vertical="center"/>
    </xf>
    <xf numFmtId="0" fontId="0" fillId="7" borderId="31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1" fillId="13" borderId="1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7" fillId="0" borderId="33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17" fillId="9" borderId="1" xfId="0" applyFont="1" applyFill="1" applyBorder="1" applyAlignment="1">
      <alignment horizontal="center" vertical="center"/>
    </xf>
    <xf numFmtId="165" fontId="0" fillId="7" borderId="12" xfId="0" applyNumberFormat="1" applyFill="1" applyBorder="1" applyAlignment="1" applyProtection="1">
      <alignment horizontal="center" vertical="center" wrapText="1"/>
    </xf>
    <xf numFmtId="165" fontId="0" fillId="7" borderId="48" xfId="0" applyNumberFormat="1" applyFill="1" applyBorder="1" applyAlignment="1" applyProtection="1">
      <alignment horizontal="center" vertical="center" wrapText="1"/>
    </xf>
    <xf numFmtId="165" fontId="0" fillId="7" borderId="50" xfId="0" applyNumberFormat="1" applyFill="1" applyBorder="1" applyAlignment="1" applyProtection="1">
      <alignment horizontal="center" vertical="center" wrapText="1"/>
    </xf>
    <xf numFmtId="165" fontId="0" fillId="7" borderId="49" xfId="0" applyNumberFormat="1" applyFill="1" applyBorder="1" applyAlignment="1" applyProtection="1">
      <alignment horizontal="center" vertical="center" wrapText="1"/>
    </xf>
  </cellXfs>
  <cellStyles count="3">
    <cellStyle name="Comma" xfId="2" builtinId="3"/>
    <cellStyle name="Currency" xfId="1" builtinId="4"/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 style="thin">
          <color auto="1"/>
        </top>
        <bottom/>
        <vertical/>
        <horizontal/>
      </border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31252</xdr:colOff>
      <xdr:row>0</xdr:row>
      <xdr:rowOff>152398</xdr:rowOff>
    </xdr:from>
    <xdr:to>
      <xdr:col>3</xdr:col>
      <xdr:colOff>404587</xdr:colOff>
      <xdr:row>0</xdr:row>
      <xdr:rowOff>551948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854534-6B51-474E-9AEB-4546BFF79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278" y="152398"/>
          <a:ext cx="1920240" cy="41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W90"/>
  <sheetViews>
    <sheetView showGridLines="0" tabSelected="1" zoomScale="90" zoomScaleNormal="90" workbookViewId="0">
      <selection activeCell="K12" sqref="K12"/>
    </sheetView>
  </sheetViews>
  <sheetFormatPr defaultColWidth="8.85546875" defaultRowHeight="15" x14ac:dyDescent="0.25"/>
  <cols>
    <col min="1" max="1" width="2.28515625" style="2" customWidth="1"/>
    <col min="2" max="7" width="11.28515625" style="2" customWidth="1"/>
    <col min="8" max="8" width="21" style="2" customWidth="1"/>
    <col min="9" max="9" width="17" style="2" bestFit="1" customWidth="1"/>
    <col min="10" max="10" width="24.7109375" style="2" customWidth="1"/>
    <col min="11" max="12" width="16.7109375" style="2" customWidth="1"/>
    <col min="13" max="13" width="12.7109375" style="2" customWidth="1"/>
    <col min="14" max="15" width="6.7109375" style="2" customWidth="1"/>
    <col min="16" max="16" width="16.7109375" style="2" customWidth="1"/>
    <col min="17" max="17" width="5.5703125" style="2" customWidth="1"/>
    <col min="18" max="18" width="9.140625" style="2" hidden="1" customWidth="1"/>
    <col min="19" max="19" width="7.42578125" style="2" hidden="1" customWidth="1"/>
    <col min="20" max="20" width="10.5703125" style="2" hidden="1" customWidth="1"/>
    <col min="21" max="24" width="7.85546875" style="2" hidden="1" customWidth="1"/>
    <col min="25" max="25" width="7.140625" style="2" hidden="1" customWidth="1"/>
    <col min="26" max="26" width="2.7109375" style="2" hidden="1" customWidth="1"/>
    <col min="27" max="27" width="8.28515625" style="2" hidden="1" customWidth="1"/>
    <col min="28" max="28" width="5.85546875" style="2" hidden="1" customWidth="1"/>
    <col min="29" max="29" width="2.7109375" style="2" hidden="1" customWidth="1"/>
    <col min="30" max="30" width="8.5703125" style="2" hidden="1" customWidth="1"/>
    <col min="31" max="31" width="13.5703125" style="2" hidden="1" customWidth="1"/>
    <col min="32" max="32" width="8.28515625" style="2" hidden="1" customWidth="1"/>
    <col min="33" max="33" width="7.140625" style="2" hidden="1" customWidth="1"/>
    <col min="34" max="34" width="2.7109375" style="2" hidden="1" customWidth="1"/>
    <col min="35" max="35" width="8.5703125" style="2" hidden="1" customWidth="1"/>
    <col min="36" max="36" width="8.28515625" style="2" hidden="1" customWidth="1"/>
    <col min="37" max="37" width="6" style="2" hidden="1" customWidth="1"/>
    <col min="38" max="38" width="2.7109375" style="2" hidden="1" customWidth="1"/>
    <col min="39" max="39" width="8.5703125" style="2" hidden="1" customWidth="1"/>
    <col min="40" max="40" width="8.28515625" style="2" hidden="1" customWidth="1"/>
    <col min="41" max="41" width="7.140625" style="2" hidden="1" customWidth="1"/>
    <col min="42" max="42" width="2.7109375" style="2" hidden="1" customWidth="1"/>
    <col min="43" max="43" width="10" style="2" hidden="1" customWidth="1"/>
    <col min="44" max="44" width="6.28515625" style="2" hidden="1" customWidth="1"/>
    <col min="45" max="45" width="8.7109375" style="2" hidden="1" customWidth="1"/>
    <col min="46" max="46" width="2.7109375" style="2" hidden="1" customWidth="1"/>
    <col min="47" max="51" width="8.85546875" style="2" hidden="1" customWidth="1"/>
    <col min="52" max="52" width="2.7109375" style="2" hidden="1" customWidth="1"/>
    <col min="53" max="57" width="8.85546875" style="2" hidden="1" customWidth="1"/>
    <col min="58" max="58" width="2.7109375" style="2" hidden="1" customWidth="1"/>
    <col min="59" max="63" width="8.85546875" style="2" hidden="1" customWidth="1"/>
    <col min="64" max="64" width="2.7109375" style="2" hidden="1" customWidth="1"/>
    <col min="65" max="69" width="8.85546875" style="2" hidden="1" customWidth="1"/>
    <col min="70" max="70" width="2.7109375" style="2" hidden="1" customWidth="1"/>
    <col min="71" max="75" width="8.85546875" style="2" hidden="1" customWidth="1"/>
    <col min="76" max="16384" width="8.85546875" style="2"/>
  </cols>
  <sheetData>
    <row r="1" spans="1:75" ht="57.6" customHeight="1" thickBot="1" x14ac:dyDescent="0.3">
      <c r="B1" s="258"/>
      <c r="C1" s="259"/>
      <c r="D1" s="260"/>
      <c r="E1" s="264" t="s">
        <v>166</v>
      </c>
      <c r="F1" s="265"/>
      <c r="G1" s="265"/>
      <c r="H1" s="265"/>
      <c r="I1" s="265"/>
      <c r="J1" s="265"/>
      <c r="K1" s="265"/>
      <c r="L1" s="265"/>
      <c r="M1" s="265"/>
      <c r="N1" s="265"/>
      <c r="O1" s="266"/>
      <c r="R1" s="17"/>
    </row>
    <row r="2" spans="1:75" ht="15" customHeight="1" x14ac:dyDescent="0.25">
      <c r="A2" s="3"/>
      <c r="B2" s="4"/>
      <c r="C2" s="4"/>
      <c r="D2" s="4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1"/>
      <c r="R2" s="18"/>
    </row>
    <row r="3" spans="1:75" ht="15.75" customHeight="1" x14ac:dyDescent="0.25">
      <c r="B3" s="263" t="s">
        <v>8</v>
      </c>
      <c r="C3" s="263"/>
      <c r="D3" s="263"/>
      <c r="E3" s="267"/>
      <c r="F3" s="267"/>
      <c r="G3" s="267"/>
      <c r="H3" s="267"/>
      <c r="I3" s="40"/>
      <c r="J3" s="38" t="s">
        <v>21</v>
      </c>
      <c r="K3" s="267"/>
      <c r="L3" s="267"/>
      <c r="M3" s="267"/>
      <c r="N3" s="267"/>
      <c r="R3" s="18"/>
    </row>
    <row r="4" spans="1:75" s="3" customFormat="1" ht="14.45" customHeight="1" x14ac:dyDescent="0.25">
      <c r="B4" s="24"/>
      <c r="C4" s="24"/>
      <c r="D4" s="24"/>
      <c r="E4" s="12"/>
      <c r="F4" s="12"/>
      <c r="G4" s="12"/>
      <c r="H4" s="12"/>
      <c r="I4" s="12"/>
      <c r="K4" s="24"/>
      <c r="L4" s="24"/>
      <c r="M4" s="12"/>
      <c r="N4" s="12"/>
      <c r="O4" s="12"/>
      <c r="R4" s="18"/>
    </row>
    <row r="5" spans="1:75" ht="14.45" customHeight="1" x14ac:dyDescent="0.25">
      <c r="A5" s="3"/>
      <c r="B5" s="7"/>
      <c r="C5" s="7"/>
      <c r="D5" s="7"/>
      <c r="E5" s="11"/>
      <c r="F5" s="11"/>
      <c r="G5" s="11"/>
      <c r="H5" s="11"/>
      <c r="I5" s="11"/>
      <c r="J5" s="38" t="s">
        <v>38</v>
      </c>
      <c r="K5" s="267"/>
      <c r="L5" s="267"/>
      <c r="M5" s="267"/>
      <c r="N5" s="267"/>
      <c r="P5" s="3"/>
      <c r="AQ5" s="2" t="s">
        <v>137</v>
      </c>
    </row>
    <row r="6" spans="1:75" s="3" customFormat="1" ht="14.45" customHeight="1" x14ac:dyDescent="0.25">
      <c r="B6" s="7"/>
      <c r="C6" s="7"/>
      <c r="D6" s="7"/>
      <c r="E6" s="11"/>
      <c r="F6" s="11"/>
      <c r="G6" s="11"/>
      <c r="H6" s="11"/>
      <c r="I6" s="11"/>
      <c r="J6" s="8"/>
      <c r="K6" s="8"/>
      <c r="L6" s="8"/>
      <c r="M6" s="8"/>
      <c r="N6" s="8"/>
      <c r="O6" s="12"/>
    </row>
    <row r="7" spans="1:75" s="3" customFormat="1" ht="14.45" customHeight="1" x14ac:dyDescent="0.25">
      <c r="A7" s="2"/>
      <c r="B7" s="302" t="s">
        <v>0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4"/>
      <c r="Q7" s="2"/>
      <c r="R7" s="228" t="s">
        <v>127</v>
      </c>
      <c r="S7" s="229"/>
      <c r="T7" s="229"/>
      <c r="U7" s="229"/>
      <c r="V7" s="229"/>
      <c r="W7" s="229"/>
      <c r="X7" s="229"/>
      <c r="Y7" s="230"/>
      <c r="Z7" s="217"/>
      <c r="AA7" s="228" t="s">
        <v>46</v>
      </c>
      <c r="AB7" s="230"/>
      <c r="AC7" s="217"/>
      <c r="AD7" s="245" t="s">
        <v>130</v>
      </c>
      <c r="AE7" s="245"/>
      <c r="AF7" s="245"/>
      <c r="AG7" s="245"/>
      <c r="AH7" s="217"/>
      <c r="AI7" s="245" t="s">
        <v>47</v>
      </c>
      <c r="AJ7" s="245"/>
      <c r="AK7" s="245"/>
      <c r="AL7" s="217"/>
      <c r="AM7" s="228" t="s">
        <v>128</v>
      </c>
      <c r="AN7" s="229"/>
      <c r="AO7" s="230"/>
      <c r="AP7" s="217"/>
      <c r="AQ7" s="228" t="s">
        <v>133</v>
      </c>
      <c r="AR7" s="229"/>
      <c r="AS7" s="230"/>
      <c r="AT7" s="217"/>
      <c r="AU7" s="228" t="s">
        <v>148</v>
      </c>
      <c r="AV7" s="229"/>
      <c r="AW7" s="229"/>
      <c r="AX7" s="229"/>
      <c r="AY7" s="230"/>
      <c r="AZ7" s="218"/>
      <c r="BA7" s="228" t="s">
        <v>149</v>
      </c>
      <c r="BB7" s="229"/>
      <c r="BC7" s="229"/>
      <c r="BD7" s="229"/>
      <c r="BE7" s="230"/>
      <c r="BF7" s="217"/>
      <c r="BG7" s="228" t="s">
        <v>150</v>
      </c>
      <c r="BH7" s="229"/>
      <c r="BI7" s="229"/>
      <c r="BJ7" s="229"/>
      <c r="BK7" s="230"/>
      <c r="BL7" s="217"/>
      <c r="BM7" s="228" t="s">
        <v>151</v>
      </c>
      <c r="BN7" s="229"/>
      <c r="BO7" s="229"/>
      <c r="BP7" s="229"/>
      <c r="BQ7" s="230"/>
      <c r="BR7" s="217"/>
      <c r="BS7" s="228" t="s">
        <v>152</v>
      </c>
      <c r="BT7" s="229"/>
      <c r="BU7" s="229"/>
      <c r="BV7" s="229"/>
      <c r="BW7" s="230"/>
    </row>
    <row r="8" spans="1:75" s="3" customFormat="1" ht="30" customHeight="1" x14ac:dyDescent="0.25">
      <c r="A8" s="2"/>
      <c r="B8" s="261" t="s">
        <v>1</v>
      </c>
      <c r="C8" s="261"/>
      <c r="D8" s="261"/>
      <c r="E8" s="261" t="s">
        <v>2</v>
      </c>
      <c r="F8" s="261"/>
      <c r="G8" s="261"/>
      <c r="H8" s="39" t="s">
        <v>3</v>
      </c>
      <c r="I8" s="191" t="s">
        <v>143</v>
      </c>
      <c r="J8" s="39" t="s">
        <v>6</v>
      </c>
      <c r="K8" s="203" t="s">
        <v>160</v>
      </c>
      <c r="L8" s="39" t="s">
        <v>23</v>
      </c>
      <c r="M8" s="13" t="s">
        <v>14</v>
      </c>
      <c r="N8" s="261" t="s">
        <v>138</v>
      </c>
      <c r="O8" s="261"/>
      <c r="P8" s="39" t="s">
        <v>4</v>
      </c>
      <c r="Q8" s="2"/>
      <c r="R8" s="34" t="s">
        <v>126</v>
      </c>
      <c r="S8" s="34" t="s">
        <v>16</v>
      </c>
      <c r="T8" s="34" t="s">
        <v>17</v>
      </c>
      <c r="U8" s="34" t="s">
        <v>18</v>
      </c>
      <c r="V8" s="34" t="s">
        <v>19</v>
      </c>
      <c r="W8" s="34" t="s">
        <v>162</v>
      </c>
      <c r="X8" s="34" t="s">
        <v>163</v>
      </c>
      <c r="Y8" s="34" t="s">
        <v>4</v>
      </c>
      <c r="Z8" s="217"/>
      <c r="AA8" s="34" t="s">
        <v>129</v>
      </c>
      <c r="AB8" s="34" t="s">
        <v>4</v>
      </c>
      <c r="AC8" s="217"/>
      <c r="AD8" s="34" t="s">
        <v>126</v>
      </c>
      <c r="AE8" s="34" t="s">
        <v>131</v>
      </c>
      <c r="AF8" s="34" t="s">
        <v>132</v>
      </c>
      <c r="AG8" s="34" t="s">
        <v>4</v>
      </c>
      <c r="AH8" s="217"/>
      <c r="AI8" s="34" t="s">
        <v>126</v>
      </c>
      <c r="AJ8" s="34" t="s">
        <v>129</v>
      </c>
      <c r="AK8" s="34" t="s">
        <v>4</v>
      </c>
      <c r="AL8" s="217"/>
      <c r="AM8" s="34" t="s">
        <v>126</v>
      </c>
      <c r="AN8" s="34" t="s">
        <v>129</v>
      </c>
      <c r="AO8" s="34" t="s">
        <v>4</v>
      </c>
      <c r="AP8" s="217"/>
      <c r="AQ8" s="34" t="s">
        <v>134</v>
      </c>
      <c r="AR8" s="34" t="s">
        <v>135</v>
      </c>
      <c r="AS8" s="34" t="s">
        <v>4</v>
      </c>
      <c r="AT8" s="217"/>
      <c r="AU8" s="34" t="s">
        <v>126</v>
      </c>
      <c r="AV8" s="34" t="s">
        <v>17</v>
      </c>
      <c r="AW8" s="34" t="s">
        <v>19</v>
      </c>
      <c r="AX8" s="34" t="s">
        <v>163</v>
      </c>
      <c r="AY8" s="34" t="s">
        <v>4</v>
      </c>
      <c r="AZ8" s="217"/>
      <c r="BA8" s="34" t="s">
        <v>126</v>
      </c>
      <c r="BB8" s="34" t="s">
        <v>17</v>
      </c>
      <c r="BC8" s="34" t="s">
        <v>19</v>
      </c>
      <c r="BD8" s="34" t="s">
        <v>163</v>
      </c>
      <c r="BE8" s="34" t="s">
        <v>4</v>
      </c>
      <c r="BF8" s="217"/>
      <c r="BG8" s="34" t="s">
        <v>126</v>
      </c>
      <c r="BH8" s="34" t="s">
        <v>17</v>
      </c>
      <c r="BI8" s="34" t="s">
        <v>19</v>
      </c>
      <c r="BJ8" s="34" t="s">
        <v>163</v>
      </c>
      <c r="BK8" s="34" t="s">
        <v>4</v>
      </c>
      <c r="BL8" s="217"/>
      <c r="BM8" s="34" t="s">
        <v>126</v>
      </c>
      <c r="BN8" s="34" t="s">
        <v>17</v>
      </c>
      <c r="BO8" s="34" t="s">
        <v>19</v>
      </c>
      <c r="BP8" s="34" t="s">
        <v>163</v>
      </c>
      <c r="BQ8" s="34" t="s">
        <v>4</v>
      </c>
      <c r="BR8" s="217"/>
      <c r="BS8" s="34" t="s">
        <v>126</v>
      </c>
      <c r="BT8" s="34" t="s">
        <v>17</v>
      </c>
      <c r="BU8" s="34" t="s">
        <v>19</v>
      </c>
      <c r="BV8" s="34" t="s">
        <v>163</v>
      </c>
      <c r="BW8" s="34" t="s">
        <v>4</v>
      </c>
    </row>
    <row r="9" spans="1:75" x14ac:dyDescent="0.25">
      <c r="B9" s="262" t="s">
        <v>22</v>
      </c>
      <c r="C9" s="262"/>
      <c r="D9" s="262"/>
      <c r="E9" s="262" t="s">
        <v>5</v>
      </c>
      <c r="F9" s="262"/>
      <c r="G9" s="262"/>
      <c r="H9" s="208">
        <v>1</v>
      </c>
      <c r="I9" s="208" t="s">
        <v>139</v>
      </c>
      <c r="J9" s="208" t="s">
        <v>157</v>
      </c>
      <c r="K9" s="209">
        <v>72000</v>
      </c>
      <c r="L9" s="209">
        <f>IFERROR(ROUND(K9/12000,2),"")</f>
        <v>6</v>
      </c>
      <c r="M9" s="210">
        <v>11.2</v>
      </c>
      <c r="N9" s="210">
        <v>16.3</v>
      </c>
      <c r="O9" s="211" t="str">
        <f>IF(AND(L9&gt;$E$26,L9&lt;$G$28,OR(J9=$R$22,J9=$R$23,J9=$R$24,J9=$R$25)),"SEER2",IF(AND(L9&gt;=$E$47,OR(J9=$R$26,J9=$R$27,J9=$R$32)),"IEER",IF(AND(OR(AND(L9&gt;$E$57,L9&lt;$G$57),AND(L9&gt;$E$59,L9&lt;$G$59)),OR(J9=$R$28,J9=$R$29,J9=$R$30,J9=$R$31)),"",IF(AND(L9&gt;$E$72,L9&lt;$G$73,J9=$R$33),"",IF(AND(L9&gt;$E$78,L9&lt;$G$79,J9=$R$34),"",IF(AND(L9&gt;$E$84,J9=$R$35),"CEER",""))))))</f>
        <v>IEER</v>
      </c>
      <c r="P9" s="216">
        <f>IF(L9&gt;=20,"Contact Advisor",IFERROR(
      IF(OR(J9=$R$26,J9=$R$27), H9*L9*Y9,IF(AND(I9=$R$39,OR(J9=$R$22,J9=$R$23)),H9*L9*AY9,IF(AND(I9=$R$39,OR(J9=$R$24,J9=$R$25)),H9*L9*BE9,IF(AND(I9=$R$40,OR(J9=$R$22,J9=$R$23)),H9*L9*BK9,IF(AND(I9=$R$40,J9=$R$24),H9*L9*BQ9,IF(AND(I9=$R$40,J9=$R$25),H9*L9*BW9,
          IF(OR(J9=$R$28,J9=$R$29,J9=$R$30,J9=$R$31), H9*L9*AB9,
              IF(J9=$R$32, H9*L9*AG9,
                  IF(J9=$R$34, H9*L9*AO9,
                      IF(J9=$R$33, H9*L9*AK9,IF(J9=$R$34, H9*L9*AO9,
                          IF(AND(L9&gt;0,J9=$R$35),H9*AS9,
                          "")))))))))))), "DNQ"))</f>
        <v>600</v>
      </c>
      <c r="R9" s="35">
        <f t="shared" ref="R9:R18" si="0">IF(AND(L9&gt;=$E$47,L9&lt;$E$49),$G$47,IF(AND(L9&gt;=$E$49,L9&lt;$E$51),$G$49,IF(L9&gt;=$E$51," ",0)))</f>
        <v>11.25</v>
      </c>
      <c r="S9" s="35">
        <f>INDEX($H$47:$M$52,MATCH($R9,$G$47:$G$52,0),1)</f>
        <v>0</v>
      </c>
      <c r="T9" s="35">
        <f>INDEX($H$47:$M$52,MATCH($R9,$G$47:$G$52,0)+1,1)</f>
        <v>16.3</v>
      </c>
      <c r="U9" s="35">
        <f>INDEX($H$47:$M$52,MATCH($R9,$G$47:$G$52,0),3)</f>
        <v>0</v>
      </c>
      <c r="V9" s="35">
        <f>INDEX($H$47:$M$52,MATCH($R9,$G$47:$G$52,0)+1,3)</f>
        <v>17.8</v>
      </c>
      <c r="W9" s="35">
        <f>INDEX($H$47:$M$52,MATCH($R9,$G$47:$G$52,0),5)</f>
        <v>0</v>
      </c>
      <c r="X9" s="35">
        <f>INDEX($H$47:$M$52,MATCH($R9,$G$47:$G$52,0)+1,5)</f>
        <v>19.600000000000001</v>
      </c>
      <c r="Y9" s="219">
        <f>IF(N9&gt;=$X9, $L$53, IF(N9&gt;=$V9, $J$53, IF(N9&gt;=$T9, $H$53, "DNQ")))</f>
        <v>100</v>
      </c>
      <c r="Z9" s="9"/>
      <c r="AA9" s="35" t="str">
        <f>IF(AND(L9&gt;$E$57,L9&lt;$G$57,OR(J9=$R$28,J9=$R$30)),$H$57,IF(AND(L9&gt;$E$57,L9&lt;$G$57,OR(J9=$R$29)),$I$57,IF(AND(L9&gt;$E$57,L9&lt;$G$57,OR(J9=$R$31)),$K$57,IF(AND(L9&gt;=$E$59,L9&lt;$G$59,OR(J9=$R$28,J9=$R$30)),$H$59,IF(AND(L9&gt;=$E$59,L9&lt;$G$59,OR(J9=$R$29)),$I$59,IF(AND(L9&gt;=$E$59,L9&lt;$G$59,OR(J9=$R$31)),$K$59,IF(AND(L9&gt;=$E$58,L9&lt;$G$58,OR(J9=$R$28,J9=$R$30)),(14-(0.3*K9/1000))*1.1,IF(AND(L9&gt;=$E$58,L9&lt;$G$58,OR(J9=$R$29)),(10.9-(0.213*K9/1000))*1.1,IF(AND(L9&gt;=$E$58,L9&lt;$G$58,OR(J9=$R$31)),(10.8-(0.213*K9/1000))*1.1,"Error")))))))))</f>
        <v>Error</v>
      </c>
      <c r="AB9" s="35" t="str">
        <f>IF(M9&gt;=AA9,$H$60, "DNQ")</f>
        <v>DNQ</v>
      </c>
      <c r="AC9" s="9"/>
      <c r="AD9" s="35">
        <f t="shared" ref="AD9:AD18" si="1">IF(AND( L9&gt;=$E$63, L9&lt;$G$63), $G$63,
          IF(AND(L9&gt;=$E$65, L9&lt;$G$65), $G$65,
              IF(L9&gt;=$E$67, $G$67,
                  0)))</f>
        <v>11.25</v>
      </c>
      <c r="AE9" s="35">
        <f t="shared" ref="AE9:AE18" si="2">INDEX($H$63:$H$68,MATCH($AD9,$G$63:$G$68,0),1)</f>
        <v>11</v>
      </c>
      <c r="AF9" s="35">
        <f t="shared" ref="AF9:AF18" si="3">INDEX($H$63:$H$68, MATCH($AD9,$G$63:$G$68,0)+1, 1)</f>
        <v>15.5</v>
      </c>
      <c r="AG9" s="35">
        <f>IF(AE9="Contact Hawaii Energy", 0,
      IF(AND(M9&gt;=AE9, N9&gt;=AF9), $H$75,
          "DNQ"))</f>
        <v>100</v>
      </c>
      <c r="AH9" s="9"/>
      <c r="AI9" s="35">
        <f t="shared" ref="AI9:AI18" si="4">IF(AND(L9&gt;$E$72, L9&lt;$G$72), $G$72,
      IF(AND(L9&gt;=$E$73, L9&lt;$G$73), $G$73,
          IF(L9&gt;=$E$74, $G$74,
              0)))</f>
        <v>11.25</v>
      </c>
      <c r="AJ9" s="35">
        <f t="shared" ref="AJ9:AJ18" si="5">VLOOKUP(AI9,$G$72:$H$74,2,FALSE)</f>
        <v>14.3</v>
      </c>
      <c r="AK9" s="35" t="str">
        <f t="shared" ref="AK9:AK18" si="6">IF(AJ9="Contact Hawaii Energy", 0,
      IF(M9&gt;=AJ9, $H$75,
          "DNQ"))</f>
        <v>DNQ</v>
      </c>
      <c r="AL9" s="9"/>
      <c r="AM9" s="35">
        <f t="shared" ref="AM9:AM18" si="7">IF(AND(L9&gt;$E$78,L9&lt;$G$78),$G$78,
IF(AND(L9&gt;=$E$79,L9&lt;$G$79),$G$79,
IF(L9&gt;=$E$80,$G$80,
"Error")))</f>
        <v>20</v>
      </c>
      <c r="AN9" s="35">
        <f>VLOOKUP(AM9,$G$78:$H$80,2,FALSE)</f>
        <v>11</v>
      </c>
      <c r="AO9" s="35">
        <f>IF(AN9="Contact Hawaii Energy", 0,
      IF(M9&gt;=AN9, $H$81,
          "DNQ"))</f>
        <v>100</v>
      </c>
      <c r="AP9" s="9"/>
      <c r="AQ9" s="35" t="str">
        <f t="array" ref="AQ9">IFERROR(INDEX($G$84:$G$86,MATCH(1,($L9&gt;=$E$84:$E$87)*($L9&lt;$G$84:$G$86),0)),"Error")</f>
        <v>Error</v>
      </c>
      <c r="AR9" s="35" t="e">
        <f t="shared" ref="AR9:AR18" si="8">INDEX($H$84:$H$87,MATCH(AQ9,$G$84:$G$86,0))</f>
        <v>#N/A</v>
      </c>
      <c r="AS9" s="35" t="e">
        <f t="shared" ref="AS9:AS18" si="9">IF(ISBLANK(N9),"DNQ", IF(N9&gt;=AR9, $H$88, "DNQ"))</f>
        <v>#N/A</v>
      </c>
      <c r="AT9" s="9"/>
      <c r="AU9" s="35">
        <f t="shared" ref="AU9:AU18" si="10">IF(AND(L9&gt;=$E$26,L9&lt;$E$28),$G$26,IF(AND(L9&gt;=$E$28,L9&lt;$G$28),$G$28,0))</f>
        <v>0</v>
      </c>
      <c r="AV9" s="35" t="e">
        <f>INDEX($H$26:$M$29,MATCH(AU9,$G$26:$G$29,0),1)</f>
        <v>#N/A</v>
      </c>
      <c r="AW9" s="35" t="e">
        <f>INDEX($H$26:$M$29,MATCH(AU9,$G$26:$G$29,0),3)</f>
        <v>#N/A</v>
      </c>
      <c r="AX9" s="35" t="e">
        <f>INDEX($H$26:$M$29,MATCH(AU9,$G$26:$G$29,0),5)</f>
        <v>#N/A</v>
      </c>
      <c r="AY9" s="219" t="e">
        <f>IF(N9&gt;=AX9,$L$33,IF(N9&gt;=AW9,$J$33,IF(N9&gt;=AV9,$H$33,"DNQ")))</f>
        <v>#N/A</v>
      </c>
      <c r="AZ9" s="9"/>
      <c r="BA9" s="35">
        <f>$G$31</f>
        <v>5.4169999999999998</v>
      </c>
      <c r="BB9" s="35">
        <f>INDEX($H$31:$M$32,MATCH(BA9,$G$31,0),1)</f>
        <v>15.2</v>
      </c>
      <c r="BC9" s="35">
        <f>INDEX($H$31:$M$32,MATCH(BA9,$G$31,0),3)</f>
        <v>16.7</v>
      </c>
      <c r="BD9" s="35">
        <f>INDEX($H$31:$M$32,MATCH(BA9,$G$31,0),5)</f>
        <v>18.2</v>
      </c>
      <c r="BE9" s="219">
        <f>IF(N9&gt;=BD9, $L$33, IF(N9&gt;=BC9, $J$33, IF(N9&gt;=BB9, $H$33, "DNQ")))</f>
        <v>100</v>
      </c>
      <c r="BF9" s="9"/>
      <c r="BG9" s="35">
        <f>$G$38</f>
        <v>5.4169999999999998</v>
      </c>
      <c r="BH9" s="35">
        <f>INDEX($H$38:$M$39,MATCH(BG9,$G$38,0),1)</f>
        <v>14.7</v>
      </c>
      <c r="BI9" s="35">
        <f>INDEX($H$38:$M$39,MATCH(BG9,$G$38,0),3)</f>
        <v>16.100000000000001</v>
      </c>
      <c r="BJ9" s="35">
        <f>INDEX($H$38:$M$39,MATCH(BG9,$G$38,0),5)</f>
        <v>17.600000000000001</v>
      </c>
      <c r="BK9" s="219">
        <f>IF(N9&gt;=BJ9, $L$43, IF(N9&gt;=BI9, $J$43, IF(N9&gt;=BH9, $H$43, "DNQ")))</f>
        <v>175</v>
      </c>
      <c r="BL9" s="9"/>
      <c r="BM9" s="35">
        <f>$G$41</f>
        <v>5.4169999999999998</v>
      </c>
      <c r="BN9" s="35">
        <f>INDEX($H$41:$M$42,MATCH(BM9,$G$41,0),1)</f>
        <v>14.7</v>
      </c>
      <c r="BO9" s="35">
        <f>INDEX($H$41:$M$42,MATCH(BM9,$G$41,0),3)</f>
        <v>16.100000000000001</v>
      </c>
      <c r="BP9" s="35">
        <f>INDEX($H$41:$M$42,MATCH(BM9,$G$41,0),5)</f>
        <v>17.600000000000001</v>
      </c>
      <c r="BQ9" s="219">
        <f>IF(N9&gt;=BP9, $L$43, IF(N9&gt;=BO9, $J$43, IF(N9&gt;=BN9, $H$43, "DNQ")))</f>
        <v>175</v>
      </c>
      <c r="BR9" s="9"/>
      <c r="BS9" s="35">
        <f>$G$41</f>
        <v>5.4169999999999998</v>
      </c>
      <c r="BT9" s="35">
        <f>INDEX($H$41:$M$42,MATCH(BS9,$G$41,0),2)</f>
        <v>15.7</v>
      </c>
      <c r="BU9" s="35">
        <f>INDEX($H$41:$M$42,MATCH(BS9,$G$41,0),4)</f>
        <v>17.2</v>
      </c>
      <c r="BV9" s="35">
        <f>INDEX($H$41:$M$42,MATCH(BS9,$G$41,0),6)</f>
        <v>18.8</v>
      </c>
      <c r="BW9" s="219">
        <f>IF(N9&gt;=BV9, $L$43, IF(N9&gt;=BU9, $J$43, IF(N9&gt;=BT9, $H$43, "DNQ")))</f>
        <v>100</v>
      </c>
    </row>
    <row r="10" spans="1:75" x14ac:dyDescent="0.25">
      <c r="B10" s="246"/>
      <c r="C10" s="246"/>
      <c r="D10" s="246"/>
      <c r="E10" s="246"/>
      <c r="F10" s="246"/>
      <c r="G10" s="246"/>
      <c r="H10" s="212"/>
      <c r="I10" s="212"/>
      <c r="J10" s="212"/>
      <c r="K10" s="213"/>
      <c r="L10" s="209">
        <f t="shared" ref="L10:L18" si="11">IFERROR(ROUND(K10/12000,2),"")</f>
        <v>0</v>
      </c>
      <c r="M10" s="214"/>
      <c r="N10" s="215"/>
      <c r="O10" s="211" t="str">
        <f>IF(AND(L10&gt;$E$26,L10&lt;$G$28,OR(J10=$R$22,J10=$R$23,J10=$R$24,J10=$R$25)),"SEER2",IF(AND(L10&gt;=$E$47,OR(J10=$R$26,J10=$R$27,J10=$R$32)),"IEER",IF(AND(OR(AND(L10&gt;$E$57,L10&lt;$G$57),AND(L10&gt;$E$59,L10&lt;$G$59)),OR(J10=$R$28,J10=$R$29,J10=$R$30,J10=$R$31)),"",IF(AND(L10&gt;$E$72,L10&lt;$G$73,J10=$R$33),"",IF(AND(L10&gt;$E$78,L10&lt;$G$79,J10=$R$34),"",IF(AND(L10&gt;$E$84,J10=$R$35),"CEER",""))))))</f>
        <v/>
      </c>
      <c r="P10" s="216" t="str">
        <f>IF(L10&gt;=20,"Contact Advisor",IFERROR(
      IF(OR(J10=$R$26,J10=$R$27), H10*L10*Y10,IF(AND(I10=$R$39,OR(J10=$R$22,J10=$R$23)),H10*L10*AY10,IF(AND(I10=$R$39,OR(J10=$R$24,J10=$R$25)),H10*L10*BE10,IF(AND(I10=$R$40,OR(J10=$R$22,J10=$R$23)),H10*L10*BK10,IF(AND(I10=$R$40,J10=$R$24),H10*L10*BQ10,IF(AND(I10=$R$40,J10=$R$25),H10*L10*BW10,
          IF(OR(J10=$R$28,J10=$R$29,J10=$R$30,J10=$R$31), H10*L10*AB10,
              IF(J10=$R$32, H10*L10*AG10,
                  IF(J10=$R$34, H10*L10*AO10,
                      IF(J10=$R$33, H10*L10*AK10,IF(J10=$R$34, H10*L10*AO10,
                          IF(AND(L10&gt;0,J10=$R$35),H10*AS10,
                          "")))))))))))), "DNQ"))</f>
        <v/>
      </c>
      <c r="R10" s="36">
        <f>IF(AND(L10&gt;=$E$47,L10&lt;$E$49),$G$47,IF(AND(L10&gt;=$E$49,L10&lt;$E$51),$G$49,IF(L10&gt;=$E$51," ",0)))</f>
        <v>0</v>
      </c>
      <c r="S10" s="36" t="e">
        <f>INDEX($H$47:$M$52,MATCH($R10,$G$47:$G$52,0),1)</f>
        <v>#N/A</v>
      </c>
      <c r="T10" s="36" t="e">
        <f>INDEX($H$47:$M$52,MATCH($R10,$G$47:$G$52,0)+1,1)</f>
        <v>#N/A</v>
      </c>
      <c r="U10" s="36" t="e">
        <f t="shared" ref="U10:U18" si="12">INDEX($H$47:$M$52,MATCH($R10,$G$47:$G$52,0),3)</f>
        <v>#N/A</v>
      </c>
      <c r="V10" s="36" t="e">
        <f t="shared" ref="V10:V18" si="13">INDEX($H$47:$M$52,MATCH($R10,$G$47:$G$52,0)+1,3)</f>
        <v>#N/A</v>
      </c>
      <c r="W10" s="36" t="e">
        <f t="shared" ref="W10:W18" si="14">INDEX($H$47:$M$52,MATCH($R10,$G$47:$G$52,0),5)</f>
        <v>#N/A</v>
      </c>
      <c r="X10" s="36" t="e">
        <f t="shared" ref="X10:X18" si="15">INDEX($H$47:$M$52,MATCH($R10,$G$47:$G$52,0)+1,5)</f>
        <v>#N/A</v>
      </c>
      <c r="Y10" s="220" t="e">
        <f>IF(N10&gt;=$X10, $L$53, IF(N10&gt;=$V10, $J$53, IF(N10&gt;=$T10, $H$53, "DNQ")))</f>
        <v>#N/A</v>
      </c>
      <c r="Z10" s="9"/>
      <c r="AA10" s="36" t="str">
        <f>IF(AND(L10&gt;$E$57,L10&lt;$G$57,OR(J10=$R$28,J10=$R$30)),$H$57,IF(AND(L10&gt;$E$57,L10&lt;$G$57,OR(J10=$R$29)),$I$57,IF(AND(L10&gt;$E$57,L10&lt;$G$57,OR(J10=$R$31)),$K$57,IF(AND(L10&gt;=$E$59,L10&lt;$G$59,OR(J10=$R$28,J10=$R$30)),$H$59,IF(AND(L10&gt;=$E$59,L10&lt;$G$59,OR(J10=$R$29)),$I$59,IF(AND(L10&gt;=$E$59,L10&lt;$G$59,OR(J10=$R$31)),$K$59,IF(AND(L10&gt;=$E$58,L10&lt;$G$58,OR(J10=$R$28,J10=$R$30)),(14-(0.3*K10/1000))*1.1,IF(AND(L10&gt;=$E$58,L10&lt;$G$58,OR(J10=$R$29)),(10.9-(0.213*K10/1000))*1.1,IF(AND(L10&gt;=$E$58,L10&lt;$G$58,OR(J10=$R$31)),(10.8-(0.213*K10/1000))*1.1,"Error")))))))))</f>
        <v>Error</v>
      </c>
      <c r="AB10" s="36" t="str">
        <f t="shared" ref="AB10:AB18" si="16">IF(M10&gt;=AA10,$H$60, "DNQ")</f>
        <v>DNQ</v>
      </c>
      <c r="AC10" s="9"/>
      <c r="AD10" s="36">
        <f t="shared" si="1"/>
        <v>0</v>
      </c>
      <c r="AE10" s="36" t="e">
        <f t="shared" si="2"/>
        <v>#N/A</v>
      </c>
      <c r="AF10" s="36" t="e">
        <f t="shared" si="3"/>
        <v>#N/A</v>
      </c>
      <c r="AG10" s="36" t="e">
        <f>IF(AE10="Contact Hawaii Energy", 0,
      IF(AND(M10&gt;=AE10, N10&gt;=AF10), $H$75,
          "DNQ"))</f>
        <v>#N/A</v>
      </c>
      <c r="AH10" s="9"/>
      <c r="AI10" s="36">
        <f t="shared" si="4"/>
        <v>0</v>
      </c>
      <c r="AJ10" s="221" t="e">
        <f>VLOOKUP(AI10,$G$72:$H$74,2,FALSE)</f>
        <v>#N/A</v>
      </c>
      <c r="AK10" s="36" t="e">
        <f>IF(AJ10="Contact Hawaii Energy", 0,
      IF(M10&gt;=AJ10, $H$75,
          "DNQ"))</f>
        <v>#N/A</v>
      </c>
      <c r="AL10" s="9"/>
      <c r="AM10" s="36" t="str">
        <f t="shared" si="7"/>
        <v>Error</v>
      </c>
      <c r="AN10" s="36" t="e">
        <f t="shared" ref="AN10:AN18" si="17">VLOOKUP(AM10,$G$78:$H$80,2,FALSE)</f>
        <v>#N/A</v>
      </c>
      <c r="AO10" s="36" t="e">
        <f t="shared" ref="AO10:AO18" si="18">IF(AN10="Contact Hawaii Energy", 0,
      IF(M10&gt;=AN10, $H$81,
          "DNQ"))</f>
        <v>#N/A</v>
      </c>
      <c r="AP10" s="9"/>
      <c r="AQ10" s="183">
        <f t="array" ref="AQ10">IFERROR(INDEX($G$84:$G$86,MATCH(1,($L10&gt;=$E$84:$E$87)*($L10&lt;$G$84:$G$86),0)),"Error")</f>
        <v>0.66700000000000004</v>
      </c>
      <c r="AR10" s="183">
        <f t="shared" si="8"/>
        <v>0</v>
      </c>
      <c r="AS10" s="183" t="str">
        <f t="shared" si="9"/>
        <v>DNQ</v>
      </c>
      <c r="AT10" s="9"/>
      <c r="AU10" s="36">
        <f t="shared" si="10"/>
        <v>3.75</v>
      </c>
      <c r="AV10" s="36">
        <f t="shared" ref="AV10:AV18" si="19">INDEX($H$26:$M$29,MATCH(AU10,$G$26:$G$29,0),1)</f>
        <v>15.2</v>
      </c>
      <c r="AW10" s="36">
        <f t="shared" ref="AW10:AW18" si="20">INDEX($H$26:$M$29,MATCH(AU10,$G$26:$G$29,0),3)</f>
        <v>16.7</v>
      </c>
      <c r="AX10" s="36">
        <f t="shared" ref="AX10:AX18" si="21">INDEX($H$26:$M$29,MATCH(AU10,$G$26:$G$29,0),5)</f>
        <v>18.2</v>
      </c>
      <c r="AY10" s="220" t="str">
        <f t="shared" ref="AY10:AY18" si="22">IF(N10&gt;=AX10,$L$33,IF(N10&gt;=AW10,$J$33,IF(N10&gt;=AV10,$H$33,"DNQ")))</f>
        <v>DNQ</v>
      </c>
      <c r="AZ10" s="9"/>
      <c r="BA10" s="36">
        <f t="shared" ref="BA10:BA18" si="23">$G$31</f>
        <v>5.4169999999999998</v>
      </c>
      <c r="BB10" s="36">
        <f t="shared" ref="BB10:BB18" si="24">INDEX($H$31:$M$32,MATCH(BA10,$G$31,0),1)</f>
        <v>15.2</v>
      </c>
      <c r="BC10" s="36">
        <f t="shared" ref="BC10:BC18" si="25">INDEX($H$31:$M$32,MATCH(BA10,$G$31,0),3)</f>
        <v>16.7</v>
      </c>
      <c r="BD10" s="36">
        <f t="shared" ref="BD10:BD18" si="26">INDEX($H$31:$M$32,MATCH(BA10,$G$31,0),5)</f>
        <v>18.2</v>
      </c>
      <c r="BE10" s="220" t="str">
        <f t="shared" ref="BE10:BE18" si="27">IF(N10&gt;=BD10, $L$33, IF(N10&gt;=BC10, $J$33, IF(N10&gt;=BB10, $H$33, "DNQ")))</f>
        <v>DNQ</v>
      </c>
      <c r="BF10" s="9"/>
      <c r="BG10" s="36">
        <f t="shared" ref="BG10:BG18" si="28">$G$38</f>
        <v>5.4169999999999998</v>
      </c>
      <c r="BH10" s="36">
        <f t="shared" ref="BH10:BH18" si="29">INDEX($H$38:$M$39,MATCH(BG10,$G$38,0),1)</f>
        <v>14.7</v>
      </c>
      <c r="BI10" s="36">
        <f t="shared" ref="BI10:BI18" si="30">INDEX($H$38:$M$39,MATCH(BG10,$G$38,0),3)</f>
        <v>16.100000000000001</v>
      </c>
      <c r="BJ10" s="36">
        <f t="shared" ref="BJ10:BJ18" si="31">INDEX($H$38:$M$39,MATCH(BG10,$G$38,0),5)</f>
        <v>17.600000000000001</v>
      </c>
      <c r="BK10" s="220" t="str">
        <f t="shared" ref="BK10:BK18" si="32">IF(N10&gt;=BJ10, $L$43, IF(N10&gt;=BI10, $J$43, IF(N10&gt;=BH10, $H$43, "DNQ")))</f>
        <v>DNQ</v>
      </c>
      <c r="BL10" s="9"/>
      <c r="BM10" s="36">
        <f t="shared" ref="BM10:BM18" si="33">$G$41</f>
        <v>5.4169999999999998</v>
      </c>
      <c r="BN10" s="36">
        <f t="shared" ref="BN10:BN18" si="34">INDEX($H$41:$M$42,MATCH(BM10,$G$41,0),1)</f>
        <v>14.7</v>
      </c>
      <c r="BO10" s="36">
        <f t="shared" ref="BO10:BO18" si="35">INDEX($H$41:$M$42,MATCH(BM10,$G$41,0),3)</f>
        <v>16.100000000000001</v>
      </c>
      <c r="BP10" s="36">
        <f t="shared" ref="BP10:BP18" si="36">INDEX($H$41:$M$42,MATCH(BM10,$G$41,0),5)</f>
        <v>17.600000000000001</v>
      </c>
      <c r="BQ10" s="220" t="str">
        <f t="shared" ref="BQ10:BQ18" si="37">IF(N10&gt;=BP10, $L$43, IF(N10&gt;=BO10, $J$43, IF(N10&gt;=BN10, $H$43, "DNQ")))</f>
        <v>DNQ</v>
      </c>
      <c r="BR10" s="9"/>
      <c r="BS10" s="36">
        <f t="shared" ref="BS10:BS18" si="38">$G$41</f>
        <v>5.4169999999999998</v>
      </c>
      <c r="BT10" s="36">
        <f t="shared" ref="BT10:BT18" si="39">INDEX($H$41:$M$42,MATCH(BS10,$G$41,0),2)</f>
        <v>15.7</v>
      </c>
      <c r="BU10" s="36">
        <f t="shared" ref="BU10:BU18" si="40">INDEX($H$41:$M$42,MATCH(BS10,$G$41,0),4)</f>
        <v>17.2</v>
      </c>
      <c r="BV10" s="36">
        <f t="shared" ref="BV10:BV18" si="41">INDEX($H$41:$M$42,MATCH(BS10,$G$41,0),6)</f>
        <v>18.8</v>
      </c>
      <c r="BW10" s="220" t="str">
        <f t="shared" ref="BW10:BW18" si="42">IF(N10&gt;=BV10, $L$43, IF(N10&gt;=BU10, $J$43, IF(N10&gt;=BT10, $H$43, "DNQ")))</f>
        <v>DNQ</v>
      </c>
    </row>
    <row r="11" spans="1:75" x14ac:dyDescent="0.25">
      <c r="B11" s="246"/>
      <c r="C11" s="246"/>
      <c r="D11" s="246"/>
      <c r="E11" s="246"/>
      <c r="F11" s="246"/>
      <c r="G11" s="246"/>
      <c r="H11" s="212"/>
      <c r="I11" s="212"/>
      <c r="J11" s="212"/>
      <c r="K11" s="213"/>
      <c r="L11" s="209">
        <f t="shared" si="11"/>
        <v>0</v>
      </c>
      <c r="M11" s="214"/>
      <c r="N11" s="215"/>
      <c r="O11" s="211" t="str">
        <f>IF(AND(L11&gt;$E$26,L11&lt;$G$28,OR(J11=$R$22,J11=$R$23,J11=$R$24,J11=$R$25)),"SEER2",IF(AND(L11&gt;=$E$47,OR(J11=$R$26,J11=$R$27,J11=$R$32)),"IEER",IF(AND(OR(AND(L11&gt;$E$57,L11&lt;$G$57),AND(L11&gt;$E$59,L11&lt;$G$59)),OR(J11=$R$28,J11=$R$29,J11=$R$30,J11=$R$31)),"",IF(AND(L11&gt;$E$72,L11&lt;$G$73,J11=$R$33),"",IF(AND(L11&gt;$E$78,L11&lt;$G$79,J11=$R$34),"",IF(AND(L11&gt;$E$84,J11=$R$35),"CEER",""))))))</f>
        <v/>
      </c>
      <c r="P11" s="216" t="str">
        <f t="shared" ref="P11:P18" si="43">IF(L11&gt;=20,"Contact Advisor",IFERROR(
      IF(OR(J11=$R$26,J11=$R$27), H11*L11*Y11,IF(AND(I11=$R$39,OR(J11=$R$22,J11=$R$23)),H11*L11*AY11,IF(AND(I11=$R$39,OR(J11=$R$24,J11=$R$25)),H11*L11*BE11,IF(AND(I11=$R$40,OR(J11=$R$22,J11=$R$23)),H11*L11*BK11,IF(AND(I11=$R$40,J11=$R$24),H11*L11*BQ11,IF(AND(I11=$R$40,J11=$R$25),H11*L11*BW11,
          IF(OR(J11=$R$28,J11=$R$29,J11=$R$30,J11=$R$31), H11*L11*AB11,
              IF(J11=$R$32, H11*L11*AG11,
                  IF(J11=$R$34, H11*L11*AO11,
                      IF(J11=$R$33, H11*L11*AK11,IF(J11=$R$34, H11*L11*AO11,
                          IF(AND(L11&gt;0,J11=$R$35),H11*AS11,
                          "")))))))))))), "DNQ"))</f>
        <v/>
      </c>
      <c r="R11" s="36">
        <f t="shared" si="0"/>
        <v>0</v>
      </c>
      <c r="S11" s="36" t="e">
        <f t="shared" ref="S11:S18" si="44">INDEX($H$47:$M$52,MATCH($R11,$G$47:$G$52,0),1)</f>
        <v>#N/A</v>
      </c>
      <c r="T11" s="36" t="e">
        <f>INDEX($H$47:$M$52,MATCH($R11,$G$47:$G$52,0)+1,1)</f>
        <v>#N/A</v>
      </c>
      <c r="U11" s="36" t="e">
        <f t="shared" si="12"/>
        <v>#N/A</v>
      </c>
      <c r="V11" s="36" t="e">
        <f t="shared" si="13"/>
        <v>#N/A</v>
      </c>
      <c r="W11" s="36" t="e">
        <f t="shared" si="14"/>
        <v>#N/A</v>
      </c>
      <c r="X11" s="36" t="e">
        <f t="shared" si="15"/>
        <v>#N/A</v>
      </c>
      <c r="Y11" s="220" t="e">
        <f t="shared" ref="Y11:Y18" si="45">IF(N11&gt;=$X11, $L$53, IF(N11&gt;=$V11, $J$53, IF(N11&gt;=$T11, $H$53, "DNQ")))</f>
        <v>#N/A</v>
      </c>
      <c r="Z11" s="9"/>
      <c r="AA11" s="36" t="str">
        <f>IF(AND(L11&gt;$E$57,L11&lt;$G$57,OR(J11=$R$28,J11=$R$30)),$H$57,IF(AND(L11&gt;$E$57,L11&lt;$G$57,OR(J11=$R$29)),$I$57,IF(AND(L11&gt;$E$57,L11&lt;$G$57,OR(J11=$R$31)),$K$57,IF(AND(L11&gt;=$E$59,L11&lt;$G$59,OR(J11=$R$28,J11=$R$30)),$H$59,IF(AND(L11&gt;=$E$59,L11&lt;$G$59,OR(J11=$R$29)),$I$59,IF(AND(L11&gt;=$E$59,L11&lt;$G$59,OR(J11=$R$31)),$K$59,IF(AND(L11&gt;=$E$58,L11&lt;$G$58,OR(J11=$R$28,J11=$R$30)),(14-(0.3*K11/1000))*1.1,IF(AND(L11&gt;=$E$58,L11&lt;$G$58,OR(J11=$R$29)),(10.9-(0.213*K11/1000))*1.1,IF(AND(L11&gt;=$E$58,L11&lt;$G$58,OR(J11=$R$31)),(10.8-(0.213*K11/1000))*1.1,"Error")))))))))</f>
        <v>Error</v>
      </c>
      <c r="AB11" s="36" t="str">
        <f t="shared" si="16"/>
        <v>DNQ</v>
      </c>
      <c r="AC11" s="9"/>
      <c r="AD11" s="36">
        <f t="shared" si="1"/>
        <v>0</v>
      </c>
      <c r="AE11" s="36" t="e">
        <f t="shared" si="2"/>
        <v>#N/A</v>
      </c>
      <c r="AF11" s="36" t="e">
        <f t="shared" si="3"/>
        <v>#N/A</v>
      </c>
      <c r="AG11" s="36" t="e">
        <f t="shared" ref="AG10:AG18" si="46">IF(AE11="Contact Hawaii Energy", 0,
      IF(AND(M11&gt;=AE11, N11&gt;=AF11), $H$75,
          "DNQ"))</f>
        <v>#N/A</v>
      </c>
      <c r="AH11" s="9"/>
      <c r="AI11" s="36">
        <f t="shared" si="4"/>
        <v>0</v>
      </c>
      <c r="AJ11" s="221" t="e">
        <f t="shared" si="5"/>
        <v>#N/A</v>
      </c>
      <c r="AK11" s="36" t="e">
        <f t="shared" si="6"/>
        <v>#N/A</v>
      </c>
      <c r="AL11" s="9"/>
      <c r="AM11" s="36" t="str">
        <f t="shared" si="7"/>
        <v>Error</v>
      </c>
      <c r="AN11" s="36" t="e">
        <f t="shared" si="17"/>
        <v>#N/A</v>
      </c>
      <c r="AO11" s="36" t="e">
        <f t="shared" si="18"/>
        <v>#N/A</v>
      </c>
      <c r="AP11" s="9"/>
      <c r="AQ11" s="183">
        <f t="array" ref="AQ11">IFERROR(INDEX($G$84:$G$86,MATCH(1,($L11&gt;=$E$84:$E$87)*($L11&lt;$G$84:$G$86),0)),"Error")</f>
        <v>0.66700000000000004</v>
      </c>
      <c r="AR11" s="183">
        <f t="shared" si="8"/>
        <v>0</v>
      </c>
      <c r="AS11" s="183" t="str">
        <f t="shared" si="9"/>
        <v>DNQ</v>
      </c>
      <c r="AT11" s="9"/>
      <c r="AU11" s="36">
        <f t="shared" si="10"/>
        <v>3.75</v>
      </c>
      <c r="AV11" s="36">
        <f t="shared" si="19"/>
        <v>15.2</v>
      </c>
      <c r="AW11" s="36">
        <f t="shared" si="20"/>
        <v>16.7</v>
      </c>
      <c r="AX11" s="36">
        <f t="shared" si="21"/>
        <v>18.2</v>
      </c>
      <c r="AY11" s="220" t="str">
        <f t="shared" si="22"/>
        <v>DNQ</v>
      </c>
      <c r="AZ11" s="9"/>
      <c r="BA11" s="36">
        <f t="shared" si="23"/>
        <v>5.4169999999999998</v>
      </c>
      <c r="BB11" s="36">
        <f t="shared" si="24"/>
        <v>15.2</v>
      </c>
      <c r="BC11" s="36">
        <f t="shared" si="25"/>
        <v>16.7</v>
      </c>
      <c r="BD11" s="36">
        <f t="shared" si="26"/>
        <v>18.2</v>
      </c>
      <c r="BE11" s="220" t="str">
        <f t="shared" si="27"/>
        <v>DNQ</v>
      </c>
      <c r="BF11" s="9"/>
      <c r="BG11" s="36">
        <f t="shared" si="28"/>
        <v>5.4169999999999998</v>
      </c>
      <c r="BH11" s="36">
        <f t="shared" si="29"/>
        <v>14.7</v>
      </c>
      <c r="BI11" s="36">
        <f t="shared" si="30"/>
        <v>16.100000000000001</v>
      </c>
      <c r="BJ11" s="36">
        <f t="shared" si="31"/>
        <v>17.600000000000001</v>
      </c>
      <c r="BK11" s="220" t="str">
        <f t="shared" si="32"/>
        <v>DNQ</v>
      </c>
      <c r="BL11" s="9"/>
      <c r="BM11" s="36">
        <f t="shared" si="33"/>
        <v>5.4169999999999998</v>
      </c>
      <c r="BN11" s="36">
        <f t="shared" si="34"/>
        <v>14.7</v>
      </c>
      <c r="BO11" s="36">
        <f t="shared" si="35"/>
        <v>16.100000000000001</v>
      </c>
      <c r="BP11" s="36">
        <f t="shared" si="36"/>
        <v>17.600000000000001</v>
      </c>
      <c r="BQ11" s="220" t="str">
        <f t="shared" si="37"/>
        <v>DNQ</v>
      </c>
      <c r="BR11" s="9"/>
      <c r="BS11" s="36">
        <f t="shared" si="38"/>
        <v>5.4169999999999998</v>
      </c>
      <c r="BT11" s="36">
        <f t="shared" si="39"/>
        <v>15.7</v>
      </c>
      <c r="BU11" s="36">
        <f t="shared" si="40"/>
        <v>17.2</v>
      </c>
      <c r="BV11" s="36">
        <f t="shared" si="41"/>
        <v>18.8</v>
      </c>
      <c r="BW11" s="220" t="str">
        <f t="shared" si="42"/>
        <v>DNQ</v>
      </c>
    </row>
    <row r="12" spans="1:75" x14ac:dyDescent="0.25">
      <c r="B12" s="246"/>
      <c r="C12" s="246"/>
      <c r="D12" s="246"/>
      <c r="E12" s="246"/>
      <c r="F12" s="246"/>
      <c r="G12" s="246"/>
      <c r="H12" s="212"/>
      <c r="I12" s="212"/>
      <c r="J12" s="212"/>
      <c r="K12" s="213"/>
      <c r="L12" s="209">
        <f t="shared" si="11"/>
        <v>0</v>
      </c>
      <c r="M12" s="214"/>
      <c r="N12" s="215"/>
      <c r="O12" s="211" t="str">
        <f t="shared" ref="O12:O18" si="47">IF(AND(L12&gt;$E$26,L12&lt;$G$28,OR(J12=$R$22,J12=$R$23,J12=$R$24,J12=$R$25)),"SEER2",IF(AND(L12&gt;=$E$47,OR(J12=$R$26,J12=$R$27,J12=$R$32)),"IEER",IF(AND(OR(AND(L12&gt;$E$57,L12&lt;$G$57),AND(L12&gt;$E$59,L12&lt;$G$59)),OR(J12=$R$28,J12=$R$29,J12=$R$30,J12=$R$31)),"",IF(AND(L12&gt;$E$72,L12&lt;$G$73,J12=$R$33),"",IF(AND(L12&gt;$E$78,L12&lt;$G$79,J12=$R$34),"",IF(AND(L12&gt;$E$84,J12=$R$35),"CEER",""))))))</f>
        <v/>
      </c>
      <c r="P12" s="216" t="str">
        <f t="shared" si="43"/>
        <v/>
      </c>
      <c r="R12" s="36">
        <f t="shared" si="0"/>
        <v>0</v>
      </c>
      <c r="S12" s="36" t="e">
        <f t="shared" si="44"/>
        <v>#N/A</v>
      </c>
      <c r="T12" s="36" t="e">
        <f t="shared" ref="T12:T18" si="48">INDEX($H$47:$M$52,MATCH($R12,$G$47:$G$52,0)+1,1)</f>
        <v>#N/A</v>
      </c>
      <c r="U12" s="36" t="e">
        <f t="shared" si="12"/>
        <v>#N/A</v>
      </c>
      <c r="V12" s="36" t="e">
        <f t="shared" si="13"/>
        <v>#N/A</v>
      </c>
      <c r="W12" s="36" t="e">
        <f t="shared" si="14"/>
        <v>#N/A</v>
      </c>
      <c r="X12" s="36" t="e">
        <f t="shared" si="15"/>
        <v>#N/A</v>
      </c>
      <c r="Y12" s="220" t="e">
        <f t="shared" si="45"/>
        <v>#N/A</v>
      </c>
      <c r="Z12" s="9"/>
      <c r="AA12" s="36" t="str">
        <f t="shared" ref="AA12:AA18" si="49">IF(AND(L12&gt;$E$57,L12&lt;$G$57,OR(J12=$R$28,J12=$R$30)),$H$57,IF(AND(L12&gt;$E$57,L12&lt;$G$57,OR(J12=$R$29)),$I$57,IF(AND(L12&gt;$E$57,L12&lt;$G$57,OR(J12=$R$31)),$K$57,IF(AND(L12&gt;=$E$59,L12&lt;$G$59,OR(J12=$R$28,J12=$R$30)),$H$59,IF(AND(L12&gt;=$E$59,L12&lt;$G$59,OR(J12=$R$29)),$I$59,IF(AND(L12&gt;=$E$59,L12&lt;$G$59,OR(J12=$R$31)),$K$59,IF(AND(L12&gt;=$E$58,L12&lt;$G$58,OR(J12=$R$28,J12=$R$30)),(14-(0.3*K12/1000))*1.1,IF(AND(L12&gt;=$E$58,L12&lt;$G$58,OR(J12=$R$29)),(10.9-(0.213*K12/1000))*1.1,IF(AND(L12&gt;=$E$58,L12&lt;$G$58,OR(J12=$R$31)),(10.8-(0.213*K12/1000))*1.1,"Error")))))))))</f>
        <v>Error</v>
      </c>
      <c r="AB12" s="36" t="str">
        <f t="shared" si="16"/>
        <v>DNQ</v>
      </c>
      <c r="AC12" s="9"/>
      <c r="AD12" s="36">
        <f t="shared" si="1"/>
        <v>0</v>
      </c>
      <c r="AE12" s="36" t="e">
        <f t="shared" si="2"/>
        <v>#N/A</v>
      </c>
      <c r="AF12" s="36" t="e">
        <f t="shared" si="3"/>
        <v>#N/A</v>
      </c>
      <c r="AG12" s="36" t="e">
        <f t="shared" si="46"/>
        <v>#N/A</v>
      </c>
      <c r="AH12" s="9"/>
      <c r="AI12" s="36">
        <f t="shared" si="4"/>
        <v>0</v>
      </c>
      <c r="AJ12" s="221" t="e">
        <f t="shared" si="5"/>
        <v>#N/A</v>
      </c>
      <c r="AK12" s="36" t="e">
        <f t="shared" si="6"/>
        <v>#N/A</v>
      </c>
      <c r="AL12" s="9"/>
      <c r="AM12" s="36" t="str">
        <f t="shared" si="7"/>
        <v>Error</v>
      </c>
      <c r="AN12" s="36" t="e">
        <f t="shared" si="17"/>
        <v>#N/A</v>
      </c>
      <c r="AO12" s="36" t="e">
        <f t="shared" si="18"/>
        <v>#N/A</v>
      </c>
      <c r="AP12" s="9"/>
      <c r="AQ12" s="183">
        <f t="array" ref="AQ12">IFERROR(INDEX($G$84:$G$86,MATCH(1,($L12&gt;=$E$84:$E$87)*($L12&lt;$G$84:$G$86),0)),"Error")</f>
        <v>0.66700000000000004</v>
      </c>
      <c r="AR12" s="183">
        <f t="shared" si="8"/>
        <v>0</v>
      </c>
      <c r="AS12" s="183" t="str">
        <f t="shared" si="9"/>
        <v>DNQ</v>
      </c>
      <c r="AT12" s="9"/>
      <c r="AU12" s="36">
        <f t="shared" si="10"/>
        <v>3.75</v>
      </c>
      <c r="AV12" s="36">
        <f t="shared" si="19"/>
        <v>15.2</v>
      </c>
      <c r="AW12" s="36">
        <f t="shared" si="20"/>
        <v>16.7</v>
      </c>
      <c r="AX12" s="36">
        <f t="shared" si="21"/>
        <v>18.2</v>
      </c>
      <c r="AY12" s="220" t="str">
        <f t="shared" si="22"/>
        <v>DNQ</v>
      </c>
      <c r="AZ12" s="9"/>
      <c r="BA12" s="36">
        <f t="shared" si="23"/>
        <v>5.4169999999999998</v>
      </c>
      <c r="BB12" s="36">
        <f t="shared" si="24"/>
        <v>15.2</v>
      </c>
      <c r="BC12" s="36">
        <f t="shared" si="25"/>
        <v>16.7</v>
      </c>
      <c r="BD12" s="36">
        <f t="shared" si="26"/>
        <v>18.2</v>
      </c>
      <c r="BE12" s="220" t="str">
        <f t="shared" si="27"/>
        <v>DNQ</v>
      </c>
      <c r="BF12" s="9"/>
      <c r="BG12" s="36">
        <f t="shared" si="28"/>
        <v>5.4169999999999998</v>
      </c>
      <c r="BH12" s="36">
        <f t="shared" si="29"/>
        <v>14.7</v>
      </c>
      <c r="BI12" s="36">
        <f t="shared" si="30"/>
        <v>16.100000000000001</v>
      </c>
      <c r="BJ12" s="36">
        <f t="shared" si="31"/>
        <v>17.600000000000001</v>
      </c>
      <c r="BK12" s="220" t="str">
        <f t="shared" si="32"/>
        <v>DNQ</v>
      </c>
      <c r="BL12" s="9"/>
      <c r="BM12" s="36">
        <f t="shared" si="33"/>
        <v>5.4169999999999998</v>
      </c>
      <c r="BN12" s="36">
        <f t="shared" si="34"/>
        <v>14.7</v>
      </c>
      <c r="BO12" s="36">
        <f t="shared" si="35"/>
        <v>16.100000000000001</v>
      </c>
      <c r="BP12" s="36">
        <f t="shared" si="36"/>
        <v>17.600000000000001</v>
      </c>
      <c r="BQ12" s="220" t="str">
        <f t="shared" si="37"/>
        <v>DNQ</v>
      </c>
      <c r="BR12" s="9"/>
      <c r="BS12" s="36">
        <f t="shared" si="38"/>
        <v>5.4169999999999998</v>
      </c>
      <c r="BT12" s="36">
        <f t="shared" si="39"/>
        <v>15.7</v>
      </c>
      <c r="BU12" s="36">
        <f t="shared" si="40"/>
        <v>17.2</v>
      </c>
      <c r="BV12" s="36">
        <f t="shared" si="41"/>
        <v>18.8</v>
      </c>
      <c r="BW12" s="220" t="str">
        <f t="shared" si="42"/>
        <v>DNQ</v>
      </c>
    </row>
    <row r="13" spans="1:75" x14ac:dyDescent="0.25">
      <c r="B13" s="246"/>
      <c r="C13" s="246"/>
      <c r="D13" s="246"/>
      <c r="E13" s="246"/>
      <c r="F13" s="246"/>
      <c r="G13" s="246"/>
      <c r="H13" s="212"/>
      <c r="I13" s="212"/>
      <c r="J13" s="212"/>
      <c r="K13" s="213"/>
      <c r="L13" s="209">
        <f t="shared" si="11"/>
        <v>0</v>
      </c>
      <c r="M13" s="214"/>
      <c r="N13" s="215"/>
      <c r="O13" s="211" t="str">
        <f t="shared" si="47"/>
        <v/>
      </c>
      <c r="P13" s="216" t="str">
        <f t="shared" si="43"/>
        <v/>
      </c>
      <c r="R13" s="36">
        <f t="shared" si="0"/>
        <v>0</v>
      </c>
      <c r="S13" s="36" t="e">
        <f t="shared" si="44"/>
        <v>#N/A</v>
      </c>
      <c r="T13" s="36" t="e">
        <f t="shared" si="48"/>
        <v>#N/A</v>
      </c>
      <c r="U13" s="36" t="e">
        <f t="shared" si="12"/>
        <v>#N/A</v>
      </c>
      <c r="V13" s="36" t="e">
        <f t="shared" si="13"/>
        <v>#N/A</v>
      </c>
      <c r="W13" s="36" t="e">
        <f t="shared" si="14"/>
        <v>#N/A</v>
      </c>
      <c r="X13" s="36" t="e">
        <f t="shared" si="15"/>
        <v>#N/A</v>
      </c>
      <c r="Y13" s="220" t="e">
        <f t="shared" si="45"/>
        <v>#N/A</v>
      </c>
      <c r="Z13" s="9"/>
      <c r="AA13" s="36" t="str">
        <f t="shared" si="49"/>
        <v>Error</v>
      </c>
      <c r="AB13" s="36" t="str">
        <f t="shared" si="16"/>
        <v>DNQ</v>
      </c>
      <c r="AC13" s="9"/>
      <c r="AD13" s="36">
        <f t="shared" si="1"/>
        <v>0</v>
      </c>
      <c r="AE13" s="36" t="e">
        <f t="shared" si="2"/>
        <v>#N/A</v>
      </c>
      <c r="AF13" s="36" t="e">
        <f t="shared" si="3"/>
        <v>#N/A</v>
      </c>
      <c r="AG13" s="36" t="e">
        <f t="shared" si="46"/>
        <v>#N/A</v>
      </c>
      <c r="AH13" s="9"/>
      <c r="AI13" s="36">
        <f t="shared" si="4"/>
        <v>0</v>
      </c>
      <c r="AJ13" s="221" t="e">
        <f t="shared" si="5"/>
        <v>#N/A</v>
      </c>
      <c r="AK13" s="36" t="e">
        <f t="shared" si="6"/>
        <v>#N/A</v>
      </c>
      <c r="AL13" s="9"/>
      <c r="AM13" s="36" t="str">
        <f t="shared" si="7"/>
        <v>Error</v>
      </c>
      <c r="AN13" s="36" t="e">
        <f t="shared" si="17"/>
        <v>#N/A</v>
      </c>
      <c r="AO13" s="36" t="e">
        <f t="shared" si="18"/>
        <v>#N/A</v>
      </c>
      <c r="AP13" s="9"/>
      <c r="AQ13" s="183">
        <f t="array" ref="AQ13">IFERROR(INDEX($G$84:$G$86,MATCH(1,($L13&gt;=$E$84:$E$87)*($L13&lt;$G$84:$G$86),0)),"Error")</f>
        <v>0.66700000000000004</v>
      </c>
      <c r="AR13" s="183">
        <f t="shared" si="8"/>
        <v>0</v>
      </c>
      <c r="AS13" s="183" t="str">
        <f t="shared" si="9"/>
        <v>DNQ</v>
      </c>
      <c r="AT13" s="9"/>
      <c r="AU13" s="36">
        <f t="shared" si="10"/>
        <v>3.75</v>
      </c>
      <c r="AV13" s="36">
        <f t="shared" si="19"/>
        <v>15.2</v>
      </c>
      <c r="AW13" s="36">
        <f t="shared" si="20"/>
        <v>16.7</v>
      </c>
      <c r="AX13" s="36">
        <f t="shared" si="21"/>
        <v>18.2</v>
      </c>
      <c r="AY13" s="220" t="str">
        <f t="shared" si="22"/>
        <v>DNQ</v>
      </c>
      <c r="AZ13" s="9"/>
      <c r="BA13" s="36">
        <f t="shared" si="23"/>
        <v>5.4169999999999998</v>
      </c>
      <c r="BB13" s="36">
        <f t="shared" si="24"/>
        <v>15.2</v>
      </c>
      <c r="BC13" s="36">
        <f t="shared" si="25"/>
        <v>16.7</v>
      </c>
      <c r="BD13" s="36">
        <f t="shared" si="26"/>
        <v>18.2</v>
      </c>
      <c r="BE13" s="220" t="str">
        <f t="shared" si="27"/>
        <v>DNQ</v>
      </c>
      <c r="BF13" s="9"/>
      <c r="BG13" s="36">
        <f t="shared" si="28"/>
        <v>5.4169999999999998</v>
      </c>
      <c r="BH13" s="36">
        <f t="shared" si="29"/>
        <v>14.7</v>
      </c>
      <c r="BI13" s="36">
        <f t="shared" si="30"/>
        <v>16.100000000000001</v>
      </c>
      <c r="BJ13" s="36">
        <f t="shared" si="31"/>
        <v>17.600000000000001</v>
      </c>
      <c r="BK13" s="220" t="str">
        <f t="shared" si="32"/>
        <v>DNQ</v>
      </c>
      <c r="BL13" s="9"/>
      <c r="BM13" s="36">
        <f t="shared" si="33"/>
        <v>5.4169999999999998</v>
      </c>
      <c r="BN13" s="36">
        <f t="shared" si="34"/>
        <v>14.7</v>
      </c>
      <c r="BO13" s="36">
        <f t="shared" si="35"/>
        <v>16.100000000000001</v>
      </c>
      <c r="BP13" s="36">
        <f t="shared" si="36"/>
        <v>17.600000000000001</v>
      </c>
      <c r="BQ13" s="220" t="str">
        <f t="shared" si="37"/>
        <v>DNQ</v>
      </c>
      <c r="BR13" s="9"/>
      <c r="BS13" s="36">
        <f t="shared" si="38"/>
        <v>5.4169999999999998</v>
      </c>
      <c r="BT13" s="36">
        <f t="shared" si="39"/>
        <v>15.7</v>
      </c>
      <c r="BU13" s="36">
        <f t="shared" si="40"/>
        <v>17.2</v>
      </c>
      <c r="BV13" s="36">
        <f t="shared" si="41"/>
        <v>18.8</v>
      </c>
      <c r="BW13" s="220" t="str">
        <f t="shared" si="42"/>
        <v>DNQ</v>
      </c>
    </row>
    <row r="14" spans="1:75" x14ac:dyDescent="0.25">
      <c r="B14" s="246"/>
      <c r="C14" s="246"/>
      <c r="D14" s="246"/>
      <c r="E14" s="246"/>
      <c r="F14" s="246"/>
      <c r="G14" s="246"/>
      <c r="H14" s="212"/>
      <c r="I14" s="212"/>
      <c r="J14" s="212"/>
      <c r="K14" s="213"/>
      <c r="L14" s="209">
        <f t="shared" si="11"/>
        <v>0</v>
      </c>
      <c r="M14" s="214"/>
      <c r="N14" s="215"/>
      <c r="O14" s="211" t="str">
        <f t="shared" si="47"/>
        <v/>
      </c>
      <c r="P14" s="216" t="str">
        <f t="shared" si="43"/>
        <v/>
      </c>
      <c r="R14" s="36">
        <f t="shared" si="0"/>
        <v>0</v>
      </c>
      <c r="S14" s="36" t="e">
        <f t="shared" si="44"/>
        <v>#N/A</v>
      </c>
      <c r="T14" s="36" t="e">
        <f t="shared" si="48"/>
        <v>#N/A</v>
      </c>
      <c r="U14" s="36" t="e">
        <f t="shared" si="12"/>
        <v>#N/A</v>
      </c>
      <c r="V14" s="36" t="e">
        <f t="shared" si="13"/>
        <v>#N/A</v>
      </c>
      <c r="W14" s="36" t="e">
        <f t="shared" si="14"/>
        <v>#N/A</v>
      </c>
      <c r="X14" s="36" t="e">
        <f t="shared" si="15"/>
        <v>#N/A</v>
      </c>
      <c r="Y14" s="220" t="e">
        <f t="shared" si="45"/>
        <v>#N/A</v>
      </c>
      <c r="Z14" s="9"/>
      <c r="AA14" s="36" t="str">
        <f t="shared" si="49"/>
        <v>Error</v>
      </c>
      <c r="AB14" s="36" t="str">
        <f t="shared" si="16"/>
        <v>DNQ</v>
      </c>
      <c r="AC14" s="9"/>
      <c r="AD14" s="36">
        <f t="shared" si="1"/>
        <v>0</v>
      </c>
      <c r="AE14" s="36" t="e">
        <f t="shared" si="2"/>
        <v>#N/A</v>
      </c>
      <c r="AF14" s="36" t="e">
        <f t="shared" si="3"/>
        <v>#N/A</v>
      </c>
      <c r="AG14" s="36" t="e">
        <f t="shared" si="46"/>
        <v>#N/A</v>
      </c>
      <c r="AH14" s="9"/>
      <c r="AI14" s="36">
        <f t="shared" si="4"/>
        <v>0</v>
      </c>
      <c r="AJ14" s="221" t="e">
        <f t="shared" si="5"/>
        <v>#N/A</v>
      </c>
      <c r="AK14" s="36" t="e">
        <f t="shared" si="6"/>
        <v>#N/A</v>
      </c>
      <c r="AL14" s="9"/>
      <c r="AM14" s="36" t="str">
        <f t="shared" si="7"/>
        <v>Error</v>
      </c>
      <c r="AN14" s="36" t="e">
        <f t="shared" si="17"/>
        <v>#N/A</v>
      </c>
      <c r="AO14" s="36" t="e">
        <f t="shared" si="18"/>
        <v>#N/A</v>
      </c>
      <c r="AP14" s="9"/>
      <c r="AQ14" s="183">
        <f t="array" ref="AQ14">IFERROR(INDEX($G$84:$G$86,MATCH(1,($L14&gt;=$E$84:$E$87)*($L14&lt;$G$84:$G$86),0)),"Error")</f>
        <v>0.66700000000000004</v>
      </c>
      <c r="AR14" s="183">
        <f t="shared" si="8"/>
        <v>0</v>
      </c>
      <c r="AS14" s="183" t="str">
        <f t="shared" si="9"/>
        <v>DNQ</v>
      </c>
      <c r="AT14" s="9"/>
      <c r="AU14" s="36">
        <f t="shared" si="10"/>
        <v>3.75</v>
      </c>
      <c r="AV14" s="36">
        <f t="shared" si="19"/>
        <v>15.2</v>
      </c>
      <c r="AW14" s="36">
        <f t="shared" si="20"/>
        <v>16.7</v>
      </c>
      <c r="AX14" s="36">
        <f t="shared" si="21"/>
        <v>18.2</v>
      </c>
      <c r="AY14" s="220" t="str">
        <f t="shared" si="22"/>
        <v>DNQ</v>
      </c>
      <c r="AZ14" s="9"/>
      <c r="BA14" s="36">
        <f t="shared" si="23"/>
        <v>5.4169999999999998</v>
      </c>
      <c r="BB14" s="36">
        <f t="shared" si="24"/>
        <v>15.2</v>
      </c>
      <c r="BC14" s="36">
        <f t="shared" si="25"/>
        <v>16.7</v>
      </c>
      <c r="BD14" s="36">
        <f t="shared" si="26"/>
        <v>18.2</v>
      </c>
      <c r="BE14" s="220" t="str">
        <f t="shared" si="27"/>
        <v>DNQ</v>
      </c>
      <c r="BF14" s="9"/>
      <c r="BG14" s="36">
        <f t="shared" si="28"/>
        <v>5.4169999999999998</v>
      </c>
      <c r="BH14" s="36">
        <f t="shared" si="29"/>
        <v>14.7</v>
      </c>
      <c r="BI14" s="36">
        <f t="shared" si="30"/>
        <v>16.100000000000001</v>
      </c>
      <c r="BJ14" s="36">
        <f t="shared" si="31"/>
        <v>17.600000000000001</v>
      </c>
      <c r="BK14" s="220" t="str">
        <f t="shared" si="32"/>
        <v>DNQ</v>
      </c>
      <c r="BL14" s="9"/>
      <c r="BM14" s="36">
        <f t="shared" si="33"/>
        <v>5.4169999999999998</v>
      </c>
      <c r="BN14" s="36">
        <f t="shared" si="34"/>
        <v>14.7</v>
      </c>
      <c r="BO14" s="36">
        <f t="shared" si="35"/>
        <v>16.100000000000001</v>
      </c>
      <c r="BP14" s="36">
        <f t="shared" si="36"/>
        <v>17.600000000000001</v>
      </c>
      <c r="BQ14" s="220" t="str">
        <f t="shared" si="37"/>
        <v>DNQ</v>
      </c>
      <c r="BR14" s="9"/>
      <c r="BS14" s="36">
        <f t="shared" si="38"/>
        <v>5.4169999999999998</v>
      </c>
      <c r="BT14" s="36">
        <f t="shared" si="39"/>
        <v>15.7</v>
      </c>
      <c r="BU14" s="36">
        <f t="shared" si="40"/>
        <v>17.2</v>
      </c>
      <c r="BV14" s="36">
        <f t="shared" si="41"/>
        <v>18.8</v>
      </c>
      <c r="BW14" s="220" t="str">
        <f t="shared" si="42"/>
        <v>DNQ</v>
      </c>
    </row>
    <row r="15" spans="1:75" x14ac:dyDescent="0.25">
      <c r="B15" s="246"/>
      <c r="C15" s="246"/>
      <c r="D15" s="246"/>
      <c r="E15" s="246"/>
      <c r="F15" s="246"/>
      <c r="G15" s="246"/>
      <c r="H15" s="212"/>
      <c r="I15" s="212"/>
      <c r="J15" s="212"/>
      <c r="K15" s="213"/>
      <c r="L15" s="209">
        <f t="shared" si="11"/>
        <v>0</v>
      </c>
      <c r="M15" s="214"/>
      <c r="N15" s="215"/>
      <c r="O15" s="211" t="str">
        <f t="shared" si="47"/>
        <v/>
      </c>
      <c r="P15" s="216" t="str">
        <f t="shared" si="43"/>
        <v/>
      </c>
      <c r="R15" s="36">
        <f t="shared" si="0"/>
        <v>0</v>
      </c>
      <c r="S15" s="36" t="e">
        <f t="shared" si="44"/>
        <v>#N/A</v>
      </c>
      <c r="T15" s="36" t="e">
        <f t="shared" si="48"/>
        <v>#N/A</v>
      </c>
      <c r="U15" s="36" t="e">
        <f t="shared" si="12"/>
        <v>#N/A</v>
      </c>
      <c r="V15" s="36" t="e">
        <f t="shared" si="13"/>
        <v>#N/A</v>
      </c>
      <c r="W15" s="36" t="e">
        <f t="shared" si="14"/>
        <v>#N/A</v>
      </c>
      <c r="X15" s="36" t="e">
        <f t="shared" si="15"/>
        <v>#N/A</v>
      </c>
      <c r="Y15" s="220" t="e">
        <f t="shared" si="45"/>
        <v>#N/A</v>
      </c>
      <c r="Z15" s="9"/>
      <c r="AA15" s="36" t="str">
        <f t="shared" si="49"/>
        <v>Error</v>
      </c>
      <c r="AB15" s="36" t="str">
        <f t="shared" si="16"/>
        <v>DNQ</v>
      </c>
      <c r="AC15" s="9"/>
      <c r="AD15" s="36">
        <f t="shared" si="1"/>
        <v>0</v>
      </c>
      <c r="AE15" s="36" t="e">
        <f t="shared" si="2"/>
        <v>#N/A</v>
      </c>
      <c r="AF15" s="36" t="e">
        <f t="shared" si="3"/>
        <v>#N/A</v>
      </c>
      <c r="AG15" s="36" t="e">
        <f t="shared" si="46"/>
        <v>#N/A</v>
      </c>
      <c r="AH15" s="9"/>
      <c r="AI15" s="36">
        <f t="shared" si="4"/>
        <v>0</v>
      </c>
      <c r="AJ15" s="221" t="e">
        <f t="shared" si="5"/>
        <v>#N/A</v>
      </c>
      <c r="AK15" s="36" t="e">
        <f t="shared" si="6"/>
        <v>#N/A</v>
      </c>
      <c r="AL15" s="9"/>
      <c r="AM15" s="36" t="str">
        <f t="shared" si="7"/>
        <v>Error</v>
      </c>
      <c r="AN15" s="36" t="e">
        <f t="shared" si="17"/>
        <v>#N/A</v>
      </c>
      <c r="AO15" s="36" t="e">
        <f t="shared" si="18"/>
        <v>#N/A</v>
      </c>
      <c r="AP15" s="9"/>
      <c r="AQ15" s="183">
        <f t="array" ref="AQ15">IFERROR(INDEX($G$84:$G$86,MATCH(1,($L15&gt;=$E$84:$E$87)*($L15&lt;$G$84:$G$86),0)),"Error")</f>
        <v>0.66700000000000004</v>
      </c>
      <c r="AR15" s="183">
        <f t="shared" si="8"/>
        <v>0</v>
      </c>
      <c r="AS15" s="183" t="str">
        <f t="shared" si="9"/>
        <v>DNQ</v>
      </c>
      <c r="AT15" s="9"/>
      <c r="AU15" s="36">
        <f t="shared" si="10"/>
        <v>3.75</v>
      </c>
      <c r="AV15" s="36">
        <f t="shared" si="19"/>
        <v>15.2</v>
      </c>
      <c r="AW15" s="36">
        <f t="shared" si="20"/>
        <v>16.7</v>
      </c>
      <c r="AX15" s="36">
        <f t="shared" si="21"/>
        <v>18.2</v>
      </c>
      <c r="AY15" s="220" t="str">
        <f t="shared" si="22"/>
        <v>DNQ</v>
      </c>
      <c r="AZ15" s="9"/>
      <c r="BA15" s="36">
        <f t="shared" si="23"/>
        <v>5.4169999999999998</v>
      </c>
      <c r="BB15" s="36">
        <f t="shared" si="24"/>
        <v>15.2</v>
      </c>
      <c r="BC15" s="36">
        <f t="shared" si="25"/>
        <v>16.7</v>
      </c>
      <c r="BD15" s="36">
        <f t="shared" si="26"/>
        <v>18.2</v>
      </c>
      <c r="BE15" s="220" t="str">
        <f t="shared" si="27"/>
        <v>DNQ</v>
      </c>
      <c r="BF15" s="9"/>
      <c r="BG15" s="36">
        <f t="shared" si="28"/>
        <v>5.4169999999999998</v>
      </c>
      <c r="BH15" s="36">
        <f t="shared" si="29"/>
        <v>14.7</v>
      </c>
      <c r="BI15" s="36">
        <f t="shared" si="30"/>
        <v>16.100000000000001</v>
      </c>
      <c r="BJ15" s="36">
        <f t="shared" si="31"/>
        <v>17.600000000000001</v>
      </c>
      <c r="BK15" s="220" t="str">
        <f t="shared" si="32"/>
        <v>DNQ</v>
      </c>
      <c r="BL15" s="9"/>
      <c r="BM15" s="36">
        <f t="shared" si="33"/>
        <v>5.4169999999999998</v>
      </c>
      <c r="BN15" s="36">
        <f t="shared" si="34"/>
        <v>14.7</v>
      </c>
      <c r="BO15" s="36">
        <f t="shared" si="35"/>
        <v>16.100000000000001</v>
      </c>
      <c r="BP15" s="36">
        <f t="shared" si="36"/>
        <v>17.600000000000001</v>
      </c>
      <c r="BQ15" s="220" t="str">
        <f t="shared" si="37"/>
        <v>DNQ</v>
      </c>
      <c r="BR15" s="9"/>
      <c r="BS15" s="36">
        <f t="shared" si="38"/>
        <v>5.4169999999999998</v>
      </c>
      <c r="BT15" s="36">
        <f t="shared" si="39"/>
        <v>15.7</v>
      </c>
      <c r="BU15" s="36">
        <f t="shared" si="40"/>
        <v>17.2</v>
      </c>
      <c r="BV15" s="36">
        <f t="shared" si="41"/>
        <v>18.8</v>
      </c>
      <c r="BW15" s="220" t="str">
        <f t="shared" si="42"/>
        <v>DNQ</v>
      </c>
    </row>
    <row r="16" spans="1:75" x14ac:dyDescent="0.25">
      <c r="B16" s="246"/>
      <c r="C16" s="246"/>
      <c r="D16" s="246"/>
      <c r="E16" s="246"/>
      <c r="F16" s="246"/>
      <c r="G16" s="246"/>
      <c r="H16" s="212"/>
      <c r="I16" s="212"/>
      <c r="J16" s="212"/>
      <c r="K16" s="213"/>
      <c r="L16" s="209">
        <f t="shared" si="11"/>
        <v>0</v>
      </c>
      <c r="M16" s="214"/>
      <c r="N16" s="215"/>
      <c r="O16" s="211" t="str">
        <f t="shared" si="47"/>
        <v/>
      </c>
      <c r="P16" s="216" t="str">
        <f t="shared" si="43"/>
        <v/>
      </c>
      <c r="R16" s="36">
        <f t="shared" si="0"/>
        <v>0</v>
      </c>
      <c r="S16" s="36" t="e">
        <f t="shared" si="44"/>
        <v>#N/A</v>
      </c>
      <c r="T16" s="36" t="e">
        <f t="shared" si="48"/>
        <v>#N/A</v>
      </c>
      <c r="U16" s="36" t="e">
        <f t="shared" si="12"/>
        <v>#N/A</v>
      </c>
      <c r="V16" s="36" t="e">
        <f t="shared" si="13"/>
        <v>#N/A</v>
      </c>
      <c r="W16" s="36" t="e">
        <f t="shared" si="14"/>
        <v>#N/A</v>
      </c>
      <c r="X16" s="36" t="e">
        <f t="shared" si="15"/>
        <v>#N/A</v>
      </c>
      <c r="Y16" s="220" t="e">
        <f t="shared" si="45"/>
        <v>#N/A</v>
      </c>
      <c r="Z16" s="9"/>
      <c r="AA16" s="36" t="str">
        <f t="shared" si="49"/>
        <v>Error</v>
      </c>
      <c r="AB16" s="36" t="str">
        <f t="shared" si="16"/>
        <v>DNQ</v>
      </c>
      <c r="AC16" s="9"/>
      <c r="AD16" s="36">
        <f t="shared" si="1"/>
        <v>0</v>
      </c>
      <c r="AE16" s="36" t="e">
        <f t="shared" si="2"/>
        <v>#N/A</v>
      </c>
      <c r="AF16" s="36" t="e">
        <f t="shared" si="3"/>
        <v>#N/A</v>
      </c>
      <c r="AG16" s="36" t="e">
        <f t="shared" si="46"/>
        <v>#N/A</v>
      </c>
      <c r="AH16" s="9"/>
      <c r="AI16" s="36">
        <f t="shared" si="4"/>
        <v>0</v>
      </c>
      <c r="AJ16" s="221" t="e">
        <f t="shared" si="5"/>
        <v>#N/A</v>
      </c>
      <c r="AK16" s="36" t="e">
        <f t="shared" si="6"/>
        <v>#N/A</v>
      </c>
      <c r="AL16" s="9"/>
      <c r="AM16" s="36" t="str">
        <f t="shared" si="7"/>
        <v>Error</v>
      </c>
      <c r="AN16" s="36" t="e">
        <f t="shared" si="17"/>
        <v>#N/A</v>
      </c>
      <c r="AO16" s="36" t="e">
        <f t="shared" si="18"/>
        <v>#N/A</v>
      </c>
      <c r="AP16" s="9"/>
      <c r="AQ16" s="183">
        <f t="array" ref="AQ16">IFERROR(INDEX($G$84:$G$86,MATCH(1,($L16&gt;=$E$84:$E$87)*($L16&lt;$G$84:$G$86),0)),"Error")</f>
        <v>0.66700000000000004</v>
      </c>
      <c r="AR16" s="183">
        <f t="shared" si="8"/>
        <v>0</v>
      </c>
      <c r="AS16" s="183" t="str">
        <f t="shared" si="9"/>
        <v>DNQ</v>
      </c>
      <c r="AT16" s="9"/>
      <c r="AU16" s="36">
        <f t="shared" si="10"/>
        <v>3.75</v>
      </c>
      <c r="AV16" s="36">
        <f t="shared" si="19"/>
        <v>15.2</v>
      </c>
      <c r="AW16" s="36">
        <f t="shared" si="20"/>
        <v>16.7</v>
      </c>
      <c r="AX16" s="36">
        <f t="shared" si="21"/>
        <v>18.2</v>
      </c>
      <c r="AY16" s="220" t="str">
        <f t="shared" si="22"/>
        <v>DNQ</v>
      </c>
      <c r="AZ16" s="9"/>
      <c r="BA16" s="36">
        <f t="shared" si="23"/>
        <v>5.4169999999999998</v>
      </c>
      <c r="BB16" s="36">
        <f t="shared" si="24"/>
        <v>15.2</v>
      </c>
      <c r="BC16" s="36">
        <f t="shared" si="25"/>
        <v>16.7</v>
      </c>
      <c r="BD16" s="36">
        <f t="shared" si="26"/>
        <v>18.2</v>
      </c>
      <c r="BE16" s="220" t="str">
        <f t="shared" si="27"/>
        <v>DNQ</v>
      </c>
      <c r="BF16" s="9"/>
      <c r="BG16" s="36">
        <f t="shared" si="28"/>
        <v>5.4169999999999998</v>
      </c>
      <c r="BH16" s="36">
        <f t="shared" si="29"/>
        <v>14.7</v>
      </c>
      <c r="BI16" s="36">
        <f t="shared" si="30"/>
        <v>16.100000000000001</v>
      </c>
      <c r="BJ16" s="36">
        <f t="shared" si="31"/>
        <v>17.600000000000001</v>
      </c>
      <c r="BK16" s="220" t="str">
        <f t="shared" si="32"/>
        <v>DNQ</v>
      </c>
      <c r="BL16" s="9"/>
      <c r="BM16" s="36">
        <f t="shared" si="33"/>
        <v>5.4169999999999998</v>
      </c>
      <c r="BN16" s="36">
        <f t="shared" si="34"/>
        <v>14.7</v>
      </c>
      <c r="BO16" s="36">
        <f t="shared" si="35"/>
        <v>16.100000000000001</v>
      </c>
      <c r="BP16" s="36">
        <f t="shared" si="36"/>
        <v>17.600000000000001</v>
      </c>
      <c r="BQ16" s="220" t="str">
        <f t="shared" si="37"/>
        <v>DNQ</v>
      </c>
      <c r="BR16" s="9"/>
      <c r="BS16" s="36">
        <f t="shared" si="38"/>
        <v>5.4169999999999998</v>
      </c>
      <c r="BT16" s="36">
        <f t="shared" si="39"/>
        <v>15.7</v>
      </c>
      <c r="BU16" s="36">
        <f t="shared" si="40"/>
        <v>17.2</v>
      </c>
      <c r="BV16" s="36">
        <f t="shared" si="41"/>
        <v>18.8</v>
      </c>
      <c r="BW16" s="220" t="str">
        <f t="shared" si="42"/>
        <v>DNQ</v>
      </c>
    </row>
    <row r="17" spans="2:75" x14ac:dyDescent="0.25">
      <c r="B17" s="246"/>
      <c r="C17" s="246"/>
      <c r="D17" s="246"/>
      <c r="E17" s="246"/>
      <c r="F17" s="246"/>
      <c r="G17" s="246"/>
      <c r="H17" s="212"/>
      <c r="I17" s="212"/>
      <c r="J17" s="212"/>
      <c r="K17" s="213"/>
      <c r="L17" s="209">
        <f t="shared" si="11"/>
        <v>0</v>
      </c>
      <c r="M17" s="214"/>
      <c r="N17" s="215"/>
      <c r="O17" s="211" t="str">
        <f t="shared" si="47"/>
        <v/>
      </c>
      <c r="P17" s="216" t="str">
        <f t="shared" si="43"/>
        <v/>
      </c>
      <c r="R17" s="36">
        <f t="shared" si="0"/>
        <v>0</v>
      </c>
      <c r="S17" s="36" t="e">
        <f t="shared" si="44"/>
        <v>#N/A</v>
      </c>
      <c r="T17" s="36" t="e">
        <f t="shared" si="48"/>
        <v>#N/A</v>
      </c>
      <c r="U17" s="36" t="e">
        <f t="shared" si="12"/>
        <v>#N/A</v>
      </c>
      <c r="V17" s="36" t="e">
        <f t="shared" si="13"/>
        <v>#N/A</v>
      </c>
      <c r="W17" s="36" t="e">
        <f t="shared" si="14"/>
        <v>#N/A</v>
      </c>
      <c r="X17" s="36" t="e">
        <f t="shared" si="15"/>
        <v>#N/A</v>
      </c>
      <c r="Y17" s="220" t="e">
        <f t="shared" si="45"/>
        <v>#N/A</v>
      </c>
      <c r="Z17" s="9"/>
      <c r="AA17" s="36" t="str">
        <f t="shared" si="49"/>
        <v>Error</v>
      </c>
      <c r="AB17" s="36" t="str">
        <f t="shared" si="16"/>
        <v>DNQ</v>
      </c>
      <c r="AC17" s="9"/>
      <c r="AD17" s="36">
        <f t="shared" si="1"/>
        <v>0</v>
      </c>
      <c r="AE17" s="36" t="e">
        <f t="shared" si="2"/>
        <v>#N/A</v>
      </c>
      <c r="AF17" s="36" t="e">
        <f t="shared" si="3"/>
        <v>#N/A</v>
      </c>
      <c r="AG17" s="36" t="e">
        <f t="shared" si="46"/>
        <v>#N/A</v>
      </c>
      <c r="AH17" s="9"/>
      <c r="AI17" s="36">
        <f t="shared" si="4"/>
        <v>0</v>
      </c>
      <c r="AJ17" s="221" t="e">
        <f t="shared" si="5"/>
        <v>#N/A</v>
      </c>
      <c r="AK17" s="36" t="e">
        <f t="shared" si="6"/>
        <v>#N/A</v>
      </c>
      <c r="AL17" s="9"/>
      <c r="AM17" s="36" t="str">
        <f t="shared" si="7"/>
        <v>Error</v>
      </c>
      <c r="AN17" s="36" t="e">
        <f t="shared" si="17"/>
        <v>#N/A</v>
      </c>
      <c r="AO17" s="36" t="e">
        <f t="shared" si="18"/>
        <v>#N/A</v>
      </c>
      <c r="AP17" s="9"/>
      <c r="AQ17" s="183">
        <f t="array" ref="AQ17">IFERROR(INDEX($G$84:$G$86,MATCH(1,($L17&gt;=$E$84:$E$87)*($L17&lt;$G$84:$G$86),0)),"Error")</f>
        <v>0.66700000000000004</v>
      </c>
      <c r="AR17" s="183">
        <f t="shared" si="8"/>
        <v>0</v>
      </c>
      <c r="AS17" s="183" t="str">
        <f t="shared" si="9"/>
        <v>DNQ</v>
      </c>
      <c r="AT17" s="9"/>
      <c r="AU17" s="36">
        <f t="shared" si="10"/>
        <v>3.75</v>
      </c>
      <c r="AV17" s="36">
        <f t="shared" si="19"/>
        <v>15.2</v>
      </c>
      <c r="AW17" s="36">
        <f t="shared" si="20"/>
        <v>16.7</v>
      </c>
      <c r="AX17" s="36">
        <f t="shared" si="21"/>
        <v>18.2</v>
      </c>
      <c r="AY17" s="220" t="str">
        <f t="shared" si="22"/>
        <v>DNQ</v>
      </c>
      <c r="AZ17" s="9"/>
      <c r="BA17" s="36">
        <f t="shared" si="23"/>
        <v>5.4169999999999998</v>
      </c>
      <c r="BB17" s="36">
        <f t="shared" si="24"/>
        <v>15.2</v>
      </c>
      <c r="BC17" s="36">
        <f t="shared" si="25"/>
        <v>16.7</v>
      </c>
      <c r="BD17" s="36">
        <f t="shared" si="26"/>
        <v>18.2</v>
      </c>
      <c r="BE17" s="220" t="str">
        <f t="shared" si="27"/>
        <v>DNQ</v>
      </c>
      <c r="BF17" s="9"/>
      <c r="BG17" s="36">
        <f t="shared" si="28"/>
        <v>5.4169999999999998</v>
      </c>
      <c r="BH17" s="36">
        <f t="shared" si="29"/>
        <v>14.7</v>
      </c>
      <c r="BI17" s="36">
        <f t="shared" si="30"/>
        <v>16.100000000000001</v>
      </c>
      <c r="BJ17" s="36">
        <f t="shared" si="31"/>
        <v>17.600000000000001</v>
      </c>
      <c r="BK17" s="220" t="str">
        <f t="shared" si="32"/>
        <v>DNQ</v>
      </c>
      <c r="BL17" s="9"/>
      <c r="BM17" s="36">
        <f t="shared" si="33"/>
        <v>5.4169999999999998</v>
      </c>
      <c r="BN17" s="36">
        <f t="shared" si="34"/>
        <v>14.7</v>
      </c>
      <c r="BO17" s="36">
        <f t="shared" si="35"/>
        <v>16.100000000000001</v>
      </c>
      <c r="BP17" s="36">
        <f t="shared" si="36"/>
        <v>17.600000000000001</v>
      </c>
      <c r="BQ17" s="220" t="str">
        <f t="shared" si="37"/>
        <v>DNQ</v>
      </c>
      <c r="BR17" s="9"/>
      <c r="BS17" s="36">
        <f t="shared" si="38"/>
        <v>5.4169999999999998</v>
      </c>
      <c r="BT17" s="36">
        <f t="shared" si="39"/>
        <v>15.7</v>
      </c>
      <c r="BU17" s="36">
        <f t="shared" si="40"/>
        <v>17.2</v>
      </c>
      <c r="BV17" s="36">
        <f t="shared" si="41"/>
        <v>18.8</v>
      </c>
      <c r="BW17" s="220" t="str">
        <f t="shared" si="42"/>
        <v>DNQ</v>
      </c>
    </row>
    <row r="18" spans="2:75" x14ac:dyDescent="0.25">
      <c r="B18" s="246"/>
      <c r="C18" s="246"/>
      <c r="D18" s="246"/>
      <c r="E18" s="246"/>
      <c r="F18" s="246"/>
      <c r="G18" s="246"/>
      <c r="H18" s="212"/>
      <c r="I18" s="212"/>
      <c r="J18" s="212"/>
      <c r="K18" s="213"/>
      <c r="L18" s="209">
        <f t="shared" si="11"/>
        <v>0</v>
      </c>
      <c r="M18" s="214"/>
      <c r="N18" s="215"/>
      <c r="O18" s="211" t="str">
        <f t="shared" si="47"/>
        <v/>
      </c>
      <c r="P18" s="216" t="str">
        <f t="shared" si="43"/>
        <v/>
      </c>
      <c r="R18" s="36">
        <f t="shared" si="0"/>
        <v>0</v>
      </c>
      <c r="S18" s="36" t="e">
        <f t="shared" si="44"/>
        <v>#N/A</v>
      </c>
      <c r="T18" s="36" t="e">
        <f t="shared" si="48"/>
        <v>#N/A</v>
      </c>
      <c r="U18" s="36" t="e">
        <f t="shared" si="12"/>
        <v>#N/A</v>
      </c>
      <c r="V18" s="36" t="e">
        <f t="shared" si="13"/>
        <v>#N/A</v>
      </c>
      <c r="W18" s="36" t="e">
        <f t="shared" si="14"/>
        <v>#N/A</v>
      </c>
      <c r="X18" s="36" t="e">
        <f t="shared" si="15"/>
        <v>#N/A</v>
      </c>
      <c r="Y18" s="220" t="e">
        <f t="shared" si="45"/>
        <v>#N/A</v>
      </c>
      <c r="Z18" s="9"/>
      <c r="AA18" s="36" t="str">
        <f t="shared" si="49"/>
        <v>Error</v>
      </c>
      <c r="AB18" s="36" t="str">
        <f t="shared" si="16"/>
        <v>DNQ</v>
      </c>
      <c r="AC18" s="9"/>
      <c r="AD18" s="36">
        <f t="shared" si="1"/>
        <v>0</v>
      </c>
      <c r="AE18" s="36" t="e">
        <f t="shared" si="2"/>
        <v>#N/A</v>
      </c>
      <c r="AF18" s="36" t="e">
        <f t="shared" si="3"/>
        <v>#N/A</v>
      </c>
      <c r="AG18" s="36" t="e">
        <f t="shared" si="46"/>
        <v>#N/A</v>
      </c>
      <c r="AH18" s="9"/>
      <c r="AI18" s="36">
        <f t="shared" si="4"/>
        <v>0</v>
      </c>
      <c r="AJ18" s="221" t="e">
        <f t="shared" si="5"/>
        <v>#N/A</v>
      </c>
      <c r="AK18" s="36" t="e">
        <f t="shared" si="6"/>
        <v>#N/A</v>
      </c>
      <c r="AL18" s="9"/>
      <c r="AM18" s="36" t="str">
        <f t="shared" si="7"/>
        <v>Error</v>
      </c>
      <c r="AN18" s="36" t="e">
        <f t="shared" si="17"/>
        <v>#N/A</v>
      </c>
      <c r="AO18" s="36" t="e">
        <f t="shared" si="18"/>
        <v>#N/A</v>
      </c>
      <c r="AP18" s="9"/>
      <c r="AQ18" s="183">
        <f t="array" ref="AQ18">IFERROR(INDEX($G$84:$G$86,MATCH(1,($L18&gt;=$E$84:$E$87)*($L18&lt;$G$84:$G$86),0)),"Error")</f>
        <v>0.66700000000000004</v>
      </c>
      <c r="AR18" s="183">
        <f t="shared" si="8"/>
        <v>0</v>
      </c>
      <c r="AS18" s="183" t="str">
        <f t="shared" si="9"/>
        <v>DNQ</v>
      </c>
      <c r="AT18" s="9"/>
      <c r="AU18" s="36">
        <f t="shared" si="10"/>
        <v>3.75</v>
      </c>
      <c r="AV18" s="36">
        <f t="shared" si="19"/>
        <v>15.2</v>
      </c>
      <c r="AW18" s="36">
        <f t="shared" si="20"/>
        <v>16.7</v>
      </c>
      <c r="AX18" s="36">
        <f t="shared" si="21"/>
        <v>18.2</v>
      </c>
      <c r="AY18" s="220" t="str">
        <f t="shared" si="22"/>
        <v>DNQ</v>
      </c>
      <c r="AZ18" s="9"/>
      <c r="BA18" s="36">
        <f t="shared" si="23"/>
        <v>5.4169999999999998</v>
      </c>
      <c r="BB18" s="36">
        <f t="shared" si="24"/>
        <v>15.2</v>
      </c>
      <c r="BC18" s="36">
        <f t="shared" si="25"/>
        <v>16.7</v>
      </c>
      <c r="BD18" s="36">
        <f t="shared" si="26"/>
        <v>18.2</v>
      </c>
      <c r="BE18" s="220" t="str">
        <f t="shared" si="27"/>
        <v>DNQ</v>
      </c>
      <c r="BF18" s="9"/>
      <c r="BG18" s="36">
        <f t="shared" si="28"/>
        <v>5.4169999999999998</v>
      </c>
      <c r="BH18" s="36">
        <f t="shared" si="29"/>
        <v>14.7</v>
      </c>
      <c r="BI18" s="36">
        <f t="shared" si="30"/>
        <v>16.100000000000001</v>
      </c>
      <c r="BJ18" s="36">
        <f t="shared" si="31"/>
        <v>17.600000000000001</v>
      </c>
      <c r="BK18" s="220" t="str">
        <f t="shared" si="32"/>
        <v>DNQ</v>
      </c>
      <c r="BL18" s="9"/>
      <c r="BM18" s="36">
        <f t="shared" si="33"/>
        <v>5.4169999999999998</v>
      </c>
      <c r="BN18" s="36">
        <f t="shared" si="34"/>
        <v>14.7</v>
      </c>
      <c r="BO18" s="36">
        <f t="shared" si="35"/>
        <v>16.100000000000001</v>
      </c>
      <c r="BP18" s="36">
        <f t="shared" si="36"/>
        <v>17.600000000000001</v>
      </c>
      <c r="BQ18" s="220" t="str">
        <f t="shared" si="37"/>
        <v>DNQ</v>
      </c>
      <c r="BR18" s="9"/>
      <c r="BS18" s="36">
        <f t="shared" si="38"/>
        <v>5.4169999999999998</v>
      </c>
      <c r="BT18" s="36">
        <f t="shared" si="39"/>
        <v>15.7</v>
      </c>
      <c r="BU18" s="36">
        <f t="shared" si="40"/>
        <v>17.2</v>
      </c>
      <c r="BV18" s="36">
        <f t="shared" si="41"/>
        <v>18.8</v>
      </c>
      <c r="BW18" s="220" t="str">
        <f t="shared" si="42"/>
        <v>DNQ</v>
      </c>
    </row>
    <row r="19" spans="2:75" ht="15.75" customHeight="1" x14ac:dyDescent="0.25">
      <c r="B19" s="279" t="s">
        <v>9</v>
      </c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1"/>
      <c r="P19" s="10">
        <f>SUM(P10:P18)</f>
        <v>0</v>
      </c>
    </row>
    <row r="20" spans="2:75" x14ac:dyDescent="0.25"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Z20" s="37"/>
    </row>
    <row r="21" spans="2:75" x14ac:dyDescent="0.25">
      <c r="B21" s="269" t="s">
        <v>10</v>
      </c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R21" s="26" t="s">
        <v>6</v>
      </c>
    </row>
    <row r="22" spans="2:75" x14ac:dyDescent="0.25">
      <c r="B22" s="14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P22" s="9"/>
      <c r="R22" s="202" t="s">
        <v>153</v>
      </c>
    </row>
    <row r="23" spans="2:75" x14ac:dyDescent="0.25">
      <c r="B23" s="14"/>
      <c r="C23" s="15"/>
      <c r="D23" s="15"/>
      <c r="E23" s="15"/>
      <c r="F23" s="15"/>
      <c r="G23" s="15"/>
      <c r="H23" s="311" t="s">
        <v>139</v>
      </c>
      <c r="I23" s="312"/>
      <c r="J23" s="312"/>
      <c r="K23" s="312"/>
      <c r="L23" s="312"/>
      <c r="M23" s="312"/>
      <c r="N23" s="9"/>
      <c r="R23" s="202" t="s">
        <v>154</v>
      </c>
    </row>
    <row r="24" spans="2:75" x14ac:dyDescent="0.25">
      <c r="B24" s="14"/>
      <c r="C24" s="15"/>
      <c r="D24" s="15"/>
      <c r="E24" s="15"/>
      <c r="F24" s="15"/>
      <c r="G24" s="15"/>
      <c r="H24" s="247" t="s">
        <v>11</v>
      </c>
      <c r="I24" s="247"/>
      <c r="J24" s="247" t="s">
        <v>12</v>
      </c>
      <c r="K24" s="247"/>
      <c r="L24" s="247" t="s">
        <v>161</v>
      </c>
      <c r="M24" s="247"/>
      <c r="O24" s="9"/>
      <c r="R24" s="202" t="s">
        <v>155</v>
      </c>
    </row>
    <row r="25" spans="2:75" x14ac:dyDescent="0.25">
      <c r="B25" s="14"/>
      <c r="C25" s="15"/>
      <c r="D25" s="15"/>
      <c r="E25" s="15"/>
      <c r="F25" s="15"/>
      <c r="G25" s="15"/>
      <c r="H25" s="193" t="s">
        <v>120</v>
      </c>
      <c r="I25" s="193" t="s">
        <v>121</v>
      </c>
      <c r="J25" s="193" t="s">
        <v>120</v>
      </c>
      <c r="K25" s="193" t="s">
        <v>121</v>
      </c>
      <c r="L25" s="207" t="s">
        <v>120</v>
      </c>
      <c r="M25" s="207" t="s">
        <v>121</v>
      </c>
      <c r="O25" s="9"/>
      <c r="R25" s="202" t="s">
        <v>156</v>
      </c>
    </row>
    <row r="26" spans="2:75" x14ac:dyDescent="0.25">
      <c r="B26" s="272">
        <v>0</v>
      </c>
      <c r="C26" s="274" t="s">
        <v>122</v>
      </c>
      <c r="D26" s="276">
        <v>45000</v>
      </c>
      <c r="E26" s="277">
        <v>0</v>
      </c>
      <c r="F26" s="274" t="s">
        <v>140</v>
      </c>
      <c r="G26" s="252">
        <v>3.75</v>
      </c>
      <c r="H26" s="254">
        <v>15.2</v>
      </c>
      <c r="I26" s="255"/>
      <c r="J26" s="254">
        <v>16.7</v>
      </c>
      <c r="K26" s="255"/>
      <c r="L26" s="254">
        <v>18.2</v>
      </c>
      <c r="M26" s="255"/>
      <c r="N26" s="204"/>
      <c r="O26" s="9"/>
      <c r="R26" s="25" t="s">
        <v>157</v>
      </c>
    </row>
    <row r="27" spans="2:75" x14ac:dyDescent="0.25">
      <c r="B27" s="273"/>
      <c r="C27" s="275"/>
      <c r="D27" s="253"/>
      <c r="E27" s="278"/>
      <c r="F27" s="275"/>
      <c r="G27" s="253"/>
      <c r="H27" s="256"/>
      <c r="I27" s="257"/>
      <c r="J27" s="256"/>
      <c r="K27" s="257"/>
      <c r="L27" s="256"/>
      <c r="M27" s="257"/>
      <c r="O27" s="9"/>
      <c r="R27" s="25" t="s">
        <v>158</v>
      </c>
    </row>
    <row r="28" spans="2:75" x14ac:dyDescent="0.25">
      <c r="B28" s="305">
        <v>45000</v>
      </c>
      <c r="C28" s="307" t="s">
        <v>123</v>
      </c>
      <c r="D28" s="309">
        <v>65000</v>
      </c>
      <c r="E28" s="277">
        <v>3.75</v>
      </c>
      <c r="F28" s="274" t="s">
        <v>146</v>
      </c>
      <c r="G28" s="252">
        <v>5.4169999999999998</v>
      </c>
      <c r="H28" s="254">
        <v>15.2</v>
      </c>
      <c r="I28" s="255"/>
      <c r="J28" s="254">
        <v>16.7</v>
      </c>
      <c r="K28" s="255"/>
      <c r="L28" s="254">
        <v>18.2</v>
      </c>
      <c r="M28" s="255"/>
      <c r="O28" s="9"/>
      <c r="R28" s="25" t="s">
        <v>51</v>
      </c>
    </row>
    <row r="29" spans="2:75" x14ac:dyDescent="0.25">
      <c r="B29" s="306"/>
      <c r="C29" s="308"/>
      <c r="D29" s="310"/>
      <c r="E29" s="278"/>
      <c r="F29" s="275"/>
      <c r="G29" s="253"/>
      <c r="H29" s="256"/>
      <c r="I29" s="257"/>
      <c r="J29" s="256"/>
      <c r="K29" s="257"/>
      <c r="L29" s="256"/>
      <c r="M29" s="257"/>
      <c r="O29" s="9"/>
      <c r="R29" s="25" t="s">
        <v>52</v>
      </c>
    </row>
    <row r="30" spans="2:75" x14ac:dyDescent="0.25">
      <c r="B30" s="194"/>
      <c r="C30" s="194"/>
      <c r="D30" s="195"/>
      <c r="E30" s="196"/>
      <c r="F30" s="76"/>
      <c r="G30" s="197"/>
      <c r="H30" s="193" t="s">
        <v>144</v>
      </c>
      <c r="I30" s="193" t="s">
        <v>145</v>
      </c>
      <c r="J30" s="193" t="s">
        <v>144</v>
      </c>
      <c r="K30" s="193" t="s">
        <v>145</v>
      </c>
      <c r="L30" s="207" t="s">
        <v>144</v>
      </c>
      <c r="M30" s="207" t="s">
        <v>145</v>
      </c>
      <c r="O30" s="9"/>
      <c r="R30" s="25" t="s">
        <v>53</v>
      </c>
    </row>
    <row r="31" spans="2:75" x14ac:dyDescent="0.25">
      <c r="B31" s="272">
        <v>0</v>
      </c>
      <c r="C31" s="274" t="s">
        <v>122</v>
      </c>
      <c r="D31" s="276">
        <v>65000</v>
      </c>
      <c r="E31" s="277">
        <v>0</v>
      </c>
      <c r="F31" s="274" t="s">
        <v>140</v>
      </c>
      <c r="G31" s="252">
        <v>5.4169999999999998</v>
      </c>
      <c r="H31" s="254">
        <v>15.2</v>
      </c>
      <c r="I31" s="255"/>
      <c r="J31" s="254">
        <v>16.7</v>
      </c>
      <c r="K31" s="255"/>
      <c r="L31" s="254">
        <v>18.2</v>
      </c>
      <c r="M31" s="255"/>
      <c r="O31" s="9"/>
      <c r="R31" s="25" t="s">
        <v>54</v>
      </c>
    </row>
    <row r="32" spans="2:75" x14ac:dyDescent="0.25">
      <c r="B32" s="273"/>
      <c r="C32" s="275"/>
      <c r="D32" s="253"/>
      <c r="E32" s="278"/>
      <c r="F32" s="275"/>
      <c r="G32" s="253"/>
      <c r="H32" s="256"/>
      <c r="I32" s="257"/>
      <c r="J32" s="256"/>
      <c r="K32" s="257"/>
      <c r="L32" s="256"/>
      <c r="M32" s="257"/>
      <c r="O32" s="9"/>
      <c r="R32" s="25" t="s">
        <v>119</v>
      </c>
    </row>
    <row r="33" spans="2:18" x14ac:dyDescent="0.25">
      <c r="B33" s="198"/>
      <c r="C33" s="76"/>
      <c r="D33" s="197"/>
      <c r="E33" s="225" t="s">
        <v>15</v>
      </c>
      <c r="F33" s="226"/>
      <c r="G33" s="226"/>
      <c r="H33" s="233">
        <v>100</v>
      </c>
      <c r="I33" s="234"/>
      <c r="J33" s="290">
        <v>175</v>
      </c>
      <c r="K33" s="290"/>
      <c r="L33" s="290">
        <v>250</v>
      </c>
      <c r="M33" s="290"/>
      <c r="O33" s="9"/>
      <c r="R33" s="25" t="s">
        <v>44</v>
      </c>
    </row>
    <row r="34" spans="2:18" x14ac:dyDescent="0.25">
      <c r="B34" s="194"/>
      <c r="C34" s="194"/>
      <c r="D34" s="195"/>
      <c r="E34" s="196"/>
      <c r="F34" s="76"/>
      <c r="G34" s="197"/>
      <c r="H34" s="76"/>
      <c r="I34" s="76"/>
      <c r="J34" s="76"/>
      <c r="K34" s="76"/>
      <c r="L34"/>
      <c r="O34" s="9"/>
      <c r="R34" s="25" t="s">
        <v>115</v>
      </c>
    </row>
    <row r="35" spans="2:18" x14ac:dyDescent="0.25">
      <c r="B35" s="14"/>
      <c r="C35" s="15"/>
      <c r="D35" s="15"/>
      <c r="E35" s="15"/>
      <c r="F35" s="15"/>
      <c r="G35" s="15"/>
      <c r="H35" s="311" t="s">
        <v>141</v>
      </c>
      <c r="I35" s="312"/>
      <c r="J35" s="312"/>
      <c r="K35" s="312"/>
      <c r="L35" s="312"/>
      <c r="M35" s="312"/>
      <c r="O35" s="9"/>
      <c r="R35" s="186" t="s">
        <v>164</v>
      </c>
    </row>
    <row r="36" spans="2:18" x14ac:dyDescent="0.25">
      <c r="B36" s="14"/>
      <c r="C36" s="15"/>
      <c r="D36" s="15"/>
      <c r="E36" s="15"/>
      <c r="F36" s="15"/>
      <c r="G36" s="15"/>
      <c r="H36" s="248" t="s">
        <v>11</v>
      </c>
      <c r="I36" s="249"/>
      <c r="J36" s="247" t="s">
        <v>12</v>
      </c>
      <c r="K36" s="247"/>
      <c r="L36" s="247" t="s">
        <v>161</v>
      </c>
      <c r="M36" s="247"/>
    </row>
    <row r="37" spans="2:18" x14ac:dyDescent="0.25">
      <c r="B37" s="14"/>
      <c r="C37" s="15"/>
      <c r="D37" s="15"/>
      <c r="E37" s="15"/>
      <c r="F37" s="15"/>
      <c r="G37" s="15"/>
      <c r="H37" s="193" t="s">
        <v>120</v>
      </c>
      <c r="I37" s="193" t="s">
        <v>121</v>
      </c>
      <c r="J37" s="193" t="s">
        <v>120</v>
      </c>
      <c r="K37" s="193" t="s">
        <v>121</v>
      </c>
      <c r="L37" s="207" t="s">
        <v>120</v>
      </c>
      <c r="M37" s="207" t="s">
        <v>121</v>
      </c>
    </row>
    <row r="38" spans="2:18" x14ac:dyDescent="0.25">
      <c r="B38" s="272">
        <v>0</v>
      </c>
      <c r="C38" s="274" t="s">
        <v>122</v>
      </c>
      <c r="D38" s="276">
        <v>65000</v>
      </c>
      <c r="E38" s="277">
        <v>0</v>
      </c>
      <c r="F38" s="274" t="s">
        <v>140</v>
      </c>
      <c r="G38" s="252">
        <v>5.4169999999999998</v>
      </c>
      <c r="H38" s="254">
        <v>14.7</v>
      </c>
      <c r="I38" s="255"/>
      <c r="J38" s="254">
        <v>16.100000000000001</v>
      </c>
      <c r="K38" s="255"/>
      <c r="L38" s="254">
        <v>17.600000000000001</v>
      </c>
      <c r="M38" s="255"/>
      <c r="R38" s="26" t="s">
        <v>143</v>
      </c>
    </row>
    <row r="39" spans="2:18" x14ac:dyDescent="0.25">
      <c r="B39" s="273"/>
      <c r="C39" s="275"/>
      <c r="D39" s="253"/>
      <c r="E39" s="278"/>
      <c r="F39" s="275"/>
      <c r="G39" s="253"/>
      <c r="H39" s="256"/>
      <c r="I39" s="257"/>
      <c r="J39" s="256"/>
      <c r="K39" s="257"/>
      <c r="L39" s="256"/>
      <c r="M39" s="257"/>
      <c r="R39" s="25" t="s">
        <v>139</v>
      </c>
    </row>
    <row r="40" spans="2:18" x14ac:dyDescent="0.25">
      <c r="B40" s="194"/>
      <c r="C40" s="194"/>
      <c r="D40" s="195"/>
      <c r="E40" s="196"/>
      <c r="F40" s="76"/>
      <c r="G40" s="197"/>
      <c r="H40" s="193" t="s">
        <v>144</v>
      </c>
      <c r="I40" s="193" t="s">
        <v>145</v>
      </c>
      <c r="J40" s="193" t="s">
        <v>144</v>
      </c>
      <c r="K40" s="193" t="s">
        <v>145</v>
      </c>
      <c r="L40" s="207" t="s">
        <v>144</v>
      </c>
      <c r="M40" s="207" t="s">
        <v>145</v>
      </c>
      <c r="R40" s="25" t="s">
        <v>141</v>
      </c>
    </row>
    <row r="41" spans="2:18" x14ac:dyDescent="0.25">
      <c r="B41" s="272">
        <v>0</v>
      </c>
      <c r="C41" s="274" t="s">
        <v>122</v>
      </c>
      <c r="D41" s="276">
        <v>65000</v>
      </c>
      <c r="E41" s="277">
        <v>0</v>
      </c>
      <c r="F41" s="274" t="s">
        <v>140</v>
      </c>
      <c r="G41" s="252">
        <v>5.4169999999999998</v>
      </c>
      <c r="H41" s="254">
        <v>14.7</v>
      </c>
      <c r="I41" s="254">
        <v>15.7</v>
      </c>
      <c r="J41" s="254">
        <v>16.100000000000001</v>
      </c>
      <c r="K41" s="297">
        <v>17.2</v>
      </c>
      <c r="L41" s="254">
        <v>17.600000000000001</v>
      </c>
      <c r="M41" s="297">
        <v>18.8</v>
      </c>
    </row>
    <row r="42" spans="2:18" x14ac:dyDescent="0.25">
      <c r="B42" s="273"/>
      <c r="C42" s="275"/>
      <c r="D42" s="253"/>
      <c r="E42" s="278"/>
      <c r="F42" s="275"/>
      <c r="G42" s="253"/>
      <c r="H42" s="256"/>
      <c r="I42" s="256"/>
      <c r="J42" s="256"/>
      <c r="K42" s="298"/>
      <c r="L42" s="256"/>
      <c r="M42" s="298"/>
    </row>
    <row r="43" spans="2:18" x14ac:dyDescent="0.25">
      <c r="B43" s="198"/>
      <c r="C43" s="76"/>
      <c r="D43" s="197"/>
      <c r="E43" s="225" t="s">
        <v>15</v>
      </c>
      <c r="F43" s="226"/>
      <c r="G43" s="226"/>
      <c r="H43" s="233">
        <v>100</v>
      </c>
      <c r="I43" s="234"/>
      <c r="J43" s="290">
        <v>175</v>
      </c>
      <c r="K43" s="290"/>
      <c r="L43" s="290">
        <v>250</v>
      </c>
      <c r="M43" s="290"/>
    </row>
    <row r="44" spans="2:18" x14ac:dyDescent="0.25">
      <c r="B44" s="14"/>
      <c r="C44" s="15"/>
      <c r="D44" s="15"/>
      <c r="E44" s="15"/>
      <c r="F44" s="15"/>
      <c r="G44" s="15"/>
      <c r="H44" s="15"/>
      <c r="I44" s="15"/>
      <c r="J44" s="15"/>
      <c r="K44" s="15"/>
      <c r="L44"/>
    </row>
    <row r="45" spans="2:18" x14ac:dyDescent="0.25">
      <c r="H45" s="248" t="s">
        <v>11</v>
      </c>
      <c r="I45" s="249"/>
      <c r="J45" s="247" t="s">
        <v>12</v>
      </c>
      <c r="K45" s="247"/>
      <c r="L45" s="247" t="s">
        <v>161</v>
      </c>
      <c r="M45" s="247"/>
    </row>
    <row r="46" spans="2:18" x14ac:dyDescent="0.25">
      <c r="B46" s="168"/>
      <c r="C46" s="168"/>
      <c r="D46" s="168"/>
      <c r="E46" s="168"/>
      <c r="F46" s="168"/>
      <c r="G46" s="168"/>
      <c r="H46" s="193" t="s">
        <v>120</v>
      </c>
      <c r="I46" s="193" t="s">
        <v>121</v>
      </c>
      <c r="J46" s="193" t="s">
        <v>120</v>
      </c>
      <c r="K46" s="193" t="s">
        <v>121</v>
      </c>
      <c r="L46" s="207" t="s">
        <v>120</v>
      </c>
      <c r="M46" s="207" t="s">
        <v>121</v>
      </c>
    </row>
    <row r="47" spans="2:18" x14ac:dyDescent="0.25">
      <c r="B47" s="270">
        <v>65000</v>
      </c>
      <c r="C47" s="284" t="s">
        <v>123</v>
      </c>
      <c r="D47" s="299">
        <v>135000</v>
      </c>
      <c r="E47" s="237">
        <f>ROUND(B47/12000,3)</f>
        <v>5.4169999999999998</v>
      </c>
      <c r="F47" s="274" t="s">
        <v>146</v>
      </c>
      <c r="G47" s="250">
        <f>ROUND(D47/12000,3)</f>
        <v>11.25</v>
      </c>
      <c r="H47" s="241"/>
      <c r="I47" s="242"/>
      <c r="J47" s="241"/>
      <c r="K47" s="242"/>
      <c r="L47" s="241"/>
      <c r="M47" s="242"/>
    </row>
    <row r="48" spans="2:18" x14ac:dyDescent="0.25">
      <c r="B48" s="271"/>
      <c r="C48" s="285"/>
      <c r="D48" s="295"/>
      <c r="E48" s="238"/>
      <c r="F48" s="275"/>
      <c r="G48" s="251"/>
      <c r="H48" s="243">
        <v>16.3</v>
      </c>
      <c r="I48" s="244"/>
      <c r="J48" s="243">
        <v>17.8</v>
      </c>
      <c r="K48" s="244"/>
      <c r="L48" s="243">
        <v>19.600000000000001</v>
      </c>
      <c r="M48" s="244"/>
    </row>
    <row r="49" spans="2:18" x14ac:dyDescent="0.25">
      <c r="B49" s="270">
        <v>135000</v>
      </c>
      <c r="C49" s="284" t="s">
        <v>123</v>
      </c>
      <c r="D49" s="300">
        <v>240000</v>
      </c>
      <c r="E49" s="239">
        <f>ROUND(B49/12000,3)</f>
        <v>11.25</v>
      </c>
      <c r="F49" s="274" t="s">
        <v>146</v>
      </c>
      <c r="G49" s="250">
        <f>ROUND(D49/12000,3)</f>
        <v>20</v>
      </c>
      <c r="H49" s="241"/>
      <c r="I49" s="242"/>
      <c r="J49" s="241"/>
      <c r="K49" s="242"/>
      <c r="L49" s="241"/>
      <c r="M49" s="242"/>
    </row>
    <row r="50" spans="2:18" x14ac:dyDescent="0.25">
      <c r="B50" s="271"/>
      <c r="C50" s="285"/>
      <c r="D50" s="301"/>
      <c r="E50" s="240"/>
      <c r="F50" s="275"/>
      <c r="G50" s="251"/>
      <c r="H50" s="243">
        <v>15.6</v>
      </c>
      <c r="I50" s="244"/>
      <c r="J50" s="243">
        <v>17</v>
      </c>
      <c r="K50" s="244"/>
      <c r="L50" s="243">
        <v>18.7</v>
      </c>
      <c r="M50" s="244"/>
    </row>
    <row r="51" spans="2:18" ht="15" customHeight="1" x14ac:dyDescent="0.25">
      <c r="B51" s="270">
        <v>240000</v>
      </c>
      <c r="C51" s="284" t="s">
        <v>142</v>
      </c>
      <c r="D51" s="295"/>
      <c r="E51" s="237">
        <f>ROUND(B51/12000,3)</f>
        <v>20</v>
      </c>
      <c r="F51" s="274" t="s">
        <v>147</v>
      </c>
      <c r="G51" s="293" t="s">
        <v>125</v>
      </c>
      <c r="H51" s="344" t="s">
        <v>118</v>
      </c>
      <c r="I51" s="346"/>
      <c r="J51" s="344" t="s">
        <v>118</v>
      </c>
      <c r="K51" s="346"/>
      <c r="L51" s="344" t="s">
        <v>118</v>
      </c>
      <c r="M51" s="346"/>
    </row>
    <row r="52" spans="2:18" s="158" customFormat="1" x14ac:dyDescent="0.25">
      <c r="B52" s="271"/>
      <c r="C52" s="285"/>
      <c r="D52" s="296"/>
      <c r="E52" s="238"/>
      <c r="F52" s="275"/>
      <c r="G52" s="294"/>
      <c r="H52" s="345"/>
      <c r="I52" s="347"/>
      <c r="J52" s="345"/>
      <c r="K52" s="347"/>
      <c r="L52" s="345"/>
      <c r="M52" s="347"/>
      <c r="R52" s="2"/>
    </row>
    <row r="53" spans="2:18" x14ac:dyDescent="0.25">
      <c r="C53" s="171"/>
      <c r="D53" s="171"/>
      <c r="E53" s="225" t="s">
        <v>15</v>
      </c>
      <c r="F53" s="226"/>
      <c r="G53" s="226"/>
      <c r="H53" s="233">
        <v>100</v>
      </c>
      <c r="I53" s="234"/>
      <c r="J53" s="290">
        <v>175</v>
      </c>
      <c r="K53" s="290"/>
      <c r="L53" s="290">
        <v>250</v>
      </c>
      <c r="M53" s="290"/>
    </row>
    <row r="54" spans="2:18" x14ac:dyDescent="0.25">
      <c r="B54" s="162"/>
      <c r="C54" s="162"/>
      <c r="D54" s="162"/>
      <c r="L54"/>
    </row>
    <row r="55" spans="2:18" x14ac:dyDescent="0.25">
      <c r="H55" s="222" t="s">
        <v>41</v>
      </c>
      <c r="I55" s="223"/>
      <c r="J55" s="235" t="s">
        <v>42</v>
      </c>
      <c r="K55" s="235"/>
      <c r="L55"/>
    </row>
    <row r="56" spans="2:18" x14ac:dyDescent="0.25">
      <c r="B56" s="168"/>
      <c r="C56" s="168"/>
      <c r="D56" s="168"/>
      <c r="E56" s="168"/>
      <c r="F56" s="168"/>
      <c r="G56" s="168"/>
      <c r="H56" s="169" t="s">
        <v>48</v>
      </c>
      <c r="I56" s="169" t="s">
        <v>49</v>
      </c>
      <c r="J56" s="169" t="s">
        <v>48</v>
      </c>
      <c r="K56" s="169" t="s">
        <v>49</v>
      </c>
      <c r="L56"/>
      <c r="R56" s="158"/>
    </row>
    <row r="57" spans="2:18" x14ac:dyDescent="0.25">
      <c r="B57" s="164">
        <v>0</v>
      </c>
      <c r="C57" s="181" t="s">
        <v>122</v>
      </c>
      <c r="D57" s="172">
        <v>7000</v>
      </c>
      <c r="E57" s="173">
        <f>ROUND(B57/12000,3)</f>
        <v>0</v>
      </c>
      <c r="F57" s="181" t="s">
        <v>140</v>
      </c>
      <c r="G57" s="174">
        <f>ROUND(D57/12000,3)</f>
        <v>0.58299999999999996</v>
      </c>
      <c r="H57" s="206">
        <v>13.1</v>
      </c>
      <c r="I57" s="206">
        <v>10.3</v>
      </c>
      <c r="J57" s="206">
        <v>13.1</v>
      </c>
      <c r="K57" s="206">
        <v>10.199999999999999</v>
      </c>
      <c r="L57"/>
    </row>
    <row r="58" spans="2:18" s="158" customFormat="1" ht="17.25" x14ac:dyDescent="0.25">
      <c r="B58" s="164">
        <v>7000</v>
      </c>
      <c r="C58" s="181" t="s">
        <v>123</v>
      </c>
      <c r="D58" s="172">
        <v>15000</v>
      </c>
      <c r="E58" s="173">
        <f>ROUND(B58/12000,3)</f>
        <v>0.58299999999999996</v>
      </c>
      <c r="F58" s="181" t="s">
        <v>146</v>
      </c>
      <c r="G58" s="174">
        <f>ROUND(D58/12000,3)</f>
        <v>1.25</v>
      </c>
      <c r="H58" s="199" t="s">
        <v>116</v>
      </c>
      <c r="I58" s="199" t="s">
        <v>117</v>
      </c>
      <c r="J58" s="199" t="s">
        <v>116</v>
      </c>
      <c r="K58" s="199" t="s">
        <v>165</v>
      </c>
      <c r="L58"/>
      <c r="N58" s="2"/>
      <c r="O58" s="2"/>
      <c r="P58" s="2"/>
      <c r="Q58" s="2"/>
      <c r="R58" s="2"/>
    </row>
    <row r="59" spans="2:18" x14ac:dyDescent="0.25">
      <c r="B59" s="164">
        <v>15000</v>
      </c>
      <c r="C59" s="181" t="s">
        <v>123</v>
      </c>
      <c r="D59" s="172">
        <v>65000</v>
      </c>
      <c r="E59" s="173">
        <f>ROUND(B59/12000,3)</f>
        <v>1.25</v>
      </c>
      <c r="F59" s="181" t="s">
        <v>146</v>
      </c>
      <c r="G59" s="174">
        <f>ROUND(D59/12000,3)</f>
        <v>5.4169999999999998</v>
      </c>
      <c r="H59" s="206">
        <v>10.5</v>
      </c>
      <c r="I59" s="206">
        <v>8.5</v>
      </c>
      <c r="J59" s="206">
        <v>10.5</v>
      </c>
      <c r="K59" s="206">
        <v>8.4</v>
      </c>
      <c r="L59"/>
      <c r="N59" s="158"/>
      <c r="O59" s="158"/>
      <c r="P59" s="158"/>
      <c r="Q59" s="158"/>
    </row>
    <row r="60" spans="2:18" x14ac:dyDescent="0.25">
      <c r="C60" s="171"/>
      <c r="D60" s="171"/>
      <c r="E60" s="225" t="s">
        <v>15</v>
      </c>
      <c r="F60" s="226"/>
      <c r="G60" s="226"/>
      <c r="H60" s="233">
        <v>60</v>
      </c>
      <c r="I60" s="236"/>
      <c r="J60" s="236"/>
      <c r="K60" s="234"/>
      <c r="L60"/>
    </row>
    <row r="61" spans="2:18" x14ac:dyDescent="0.25">
      <c r="C61" s="171"/>
      <c r="D61" s="171"/>
      <c r="E61" s="184"/>
      <c r="F61" s="184"/>
      <c r="G61" s="184"/>
      <c r="H61" s="185"/>
      <c r="I61" s="185"/>
      <c r="J61" s="185"/>
      <c r="K61" s="185"/>
      <c r="L61"/>
    </row>
    <row r="62" spans="2:18" x14ac:dyDescent="0.25">
      <c r="B62" s="162"/>
      <c r="C62" s="162"/>
      <c r="D62" s="162"/>
      <c r="H62" s="200" t="s">
        <v>119</v>
      </c>
      <c r="I62" s="201"/>
      <c r="L62"/>
      <c r="R62" s="158"/>
    </row>
    <row r="63" spans="2:18" x14ac:dyDescent="0.25">
      <c r="B63" s="282">
        <v>65000</v>
      </c>
      <c r="C63" s="284" t="s">
        <v>123</v>
      </c>
      <c r="D63" s="286">
        <v>135000</v>
      </c>
      <c r="E63" s="237">
        <f>ROUND(B63/12000,3)</f>
        <v>5.4169999999999998</v>
      </c>
      <c r="F63" s="274" t="s">
        <v>146</v>
      </c>
      <c r="G63" s="250">
        <f>ROUND(D63/12000,3)</f>
        <v>11.25</v>
      </c>
      <c r="H63" s="175">
        <v>11</v>
      </c>
      <c r="L63"/>
    </row>
    <row r="64" spans="2:18" x14ac:dyDescent="0.25">
      <c r="B64" s="283"/>
      <c r="C64" s="285"/>
      <c r="D64" s="287"/>
      <c r="E64" s="238"/>
      <c r="F64" s="275"/>
      <c r="G64" s="251"/>
      <c r="H64" s="176">
        <v>15.5</v>
      </c>
      <c r="L64"/>
    </row>
    <row r="65" spans="2:15" x14ac:dyDescent="0.25">
      <c r="B65" s="282">
        <v>135000</v>
      </c>
      <c r="C65" s="284" t="s">
        <v>123</v>
      </c>
      <c r="D65" s="286">
        <v>240000</v>
      </c>
      <c r="E65" s="237">
        <f>ROUND(B65/12000,3)</f>
        <v>11.25</v>
      </c>
      <c r="F65" s="274" t="s">
        <v>146</v>
      </c>
      <c r="G65" s="250">
        <f>ROUND(D65/12000,3)</f>
        <v>20</v>
      </c>
      <c r="H65" s="175">
        <v>10.6</v>
      </c>
      <c r="L65"/>
    </row>
    <row r="66" spans="2:15" x14ac:dyDescent="0.25">
      <c r="B66" s="283"/>
      <c r="C66" s="285"/>
      <c r="D66" s="287"/>
      <c r="E66" s="238"/>
      <c r="F66" s="275"/>
      <c r="G66" s="251"/>
      <c r="H66" s="176">
        <v>14.9</v>
      </c>
      <c r="L66"/>
    </row>
    <row r="67" spans="2:15" x14ac:dyDescent="0.25">
      <c r="B67" s="282">
        <v>240000</v>
      </c>
      <c r="C67" s="284" t="s">
        <v>124</v>
      </c>
      <c r="D67" s="286"/>
      <c r="E67" s="237">
        <f>ROUND(B67/12000,3)</f>
        <v>20</v>
      </c>
      <c r="F67" s="274" t="s">
        <v>146</v>
      </c>
      <c r="G67" s="288" t="s">
        <v>125</v>
      </c>
      <c r="H67" s="291" t="s">
        <v>118</v>
      </c>
      <c r="L67"/>
    </row>
    <row r="68" spans="2:15" x14ac:dyDescent="0.25">
      <c r="B68" s="283"/>
      <c r="C68" s="285"/>
      <c r="D68" s="287"/>
      <c r="E68" s="238"/>
      <c r="F68" s="275"/>
      <c r="G68" s="289"/>
      <c r="H68" s="292"/>
      <c r="L68"/>
    </row>
    <row r="69" spans="2:15" x14ac:dyDescent="0.25">
      <c r="C69" s="171"/>
      <c r="D69" s="171"/>
      <c r="E69" s="225" t="s">
        <v>15</v>
      </c>
      <c r="F69" s="226"/>
      <c r="G69" s="226"/>
      <c r="H69" s="192">
        <v>100</v>
      </c>
      <c r="L69"/>
    </row>
    <row r="70" spans="2:15" x14ac:dyDescent="0.25">
      <c r="B70" s="159"/>
      <c r="C70" s="159"/>
      <c r="D70" s="159"/>
      <c r="E70" s="159"/>
      <c r="F70" s="159"/>
      <c r="G70" s="159"/>
      <c r="H70" s="160"/>
      <c r="I70" s="158"/>
      <c r="J70" s="158"/>
      <c r="K70" s="158"/>
      <c r="L70"/>
    </row>
    <row r="71" spans="2:15" x14ac:dyDescent="0.25">
      <c r="B71" s="168"/>
      <c r="C71" s="168"/>
      <c r="D71" s="168"/>
      <c r="E71" s="168"/>
      <c r="F71" s="168"/>
      <c r="G71" s="168"/>
      <c r="H71" s="169" t="s">
        <v>44</v>
      </c>
      <c r="L71"/>
    </row>
    <row r="72" spans="2:15" x14ac:dyDescent="0.25">
      <c r="B72" s="164">
        <v>0</v>
      </c>
      <c r="C72" s="181" t="s">
        <v>122</v>
      </c>
      <c r="D72" s="172">
        <v>17000</v>
      </c>
      <c r="E72" s="167">
        <f>ROUND(B72/12000,3)</f>
        <v>0</v>
      </c>
      <c r="F72" s="181" t="s">
        <v>140</v>
      </c>
      <c r="G72" s="170">
        <f>ROUND(D72/12000,3)</f>
        <v>1.417</v>
      </c>
      <c r="H72" s="161">
        <v>13.4</v>
      </c>
      <c r="L72"/>
      <c r="M72"/>
      <c r="N72"/>
      <c r="O72"/>
    </row>
    <row r="73" spans="2:15" x14ac:dyDescent="0.25">
      <c r="B73" s="164">
        <v>17000</v>
      </c>
      <c r="C73" s="181" t="s">
        <v>123</v>
      </c>
      <c r="D73" s="29">
        <v>135000</v>
      </c>
      <c r="E73" s="167">
        <f>ROUND(B73/12000,3)</f>
        <v>1.417</v>
      </c>
      <c r="F73" s="181" t="s">
        <v>146</v>
      </c>
      <c r="G73" s="170">
        <f>ROUND(D73/12000,3)</f>
        <v>11.25</v>
      </c>
      <c r="H73" s="161">
        <v>14.3</v>
      </c>
      <c r="L73"/>
      <c r="M73"/>
      <c r="N73"/>
      <c r="O73"/>
    </row>
    <row r="74" spans="2:15" x14ac:dyDescent="0.25">
      <c r="B74" s="164">
        <v>135000</v>
      </c>
      <c r="C74" s="181" t="s">
        <v>124</v>
      </c>
      <c r="D74" s="29"/>
      <c r="E74" s="167">
        <f>ROUND(B74/12000,3)</f>
        <v>11.25</v>
      </c>
      <c r="F74" s="181" t="s">
        <v>146</v>
      </c>
      <c r="G74" s="170" t="s">
        <v>125</v>
      </c>
      <c r="H74" s="161" t="s">
        <v>118</v>
      </c>
      <c r="L74"/>
    </row>
    <row r="75" spans="2:15" x14ac:dyDescent="0.25">
      <c r="C75" s="171"/>
      <c r="D75" s="178"/>
      <c r="E75" s="225" t="s">
        <v>15</v>
      </c>
      <c r="F75" s="226"/>
      <c r="G75" s="226"/>
      <c r="H75" s="192">
        <v>100</v>
      </c>
    </row>
    <row r="76" spans="2:15" x14ac:dyDescent="0.25">
      <c r="B76" s="159"/>
      <c r="C76" s="159"/>
      <c r="D76" s="179"/>
      <c r="E76" s="159"/>
      <c r="F76" s="159"/>
      <c r="G76" s="159"/>
      <c r="H76" s="160"/>
      <c r="I76" s="158"/>
      <c r="J76" s="158"/>
      <c r="K76" s="158"/>
      <c r="L76" s="158"/>
    </row>
    <row r="77" spans="2:15" x14ac:dyDescent="0.25">
      <c r="B77" s="168"/>
      <c r="C77" s="168"/>
      <c r="D77" s="180"/>
      <c r="E77" s="168"/>
      <c r="F77" s="168"/>
      <c r="G77" s="168"/>
      <c r="H77" s="169" t="s">
        <v>114</v>
      </c>
    </row>
    <row r="78" spans="2:15" x14ac:dyDescent="0.25">
      <c r="B78" s="165">
        <v>0</v>
      </c>
      <c r="C78" s="182" t="s">
        <v>122</v>
      </c>
      <c r="D78" s="166">
        <v>65000</v>
      </c>
      <c r="E78" s="167">
        <f>ROUND(B78/12000,3)</f>
        <v>0</v>
      </c>
      <c r="F78" s="181" t="s">
        <v>140</v>
      </c>
      <c r="G78" s="170">
        <f>ROUND(D78/12000,3)</f>
        <v>5.4169999999999998</v>
      </c>
      <c r="H78" s="161">
        <v>12.1</v>
      </c>
    </row>
    <row r="79" spans="2:15" x14ac:dyDescent="0.25">
      <c r="B79" s="165">
        <v>65000</v>
      </c>
      <c r="C79" s="182" t="s">
        <v>123</v>
      </c>
      <c r="D79" s="166">
        <v>240000</v>
      </c>
      <c r="E79" s="167">
        <f>ROUND(B79/12000,3)</f>
        <v>5.4169999999999998</v>
      </c>
      <c r="F79" s="181" t="s">
        <v>146</v>
      </c>
      <c r="G79" s="170">
        <f>ROUND(D79/12000,3)</f>
        <v>20</v>
      </c>
      <c r="H79" s="161">
        <v>11</v>
      </c>
    </row>
    <row r="80" spans="2:15" x14ac:dyDescent="0.25">
      <c r="B80" s="165">
        <v>240000</v>
      </c>
      <c r="C80" s="182" t="s">
        <v>124</v>
      </c>
      <c r="D80" s="166"/>
      <c r="E80" s="167">
        <f>ROUND(B80/12000,3)</f>
        <v>20</v>
      </c>
      <c r="F80" s="181" t="s">
        <v>146</v>
      </c>
      <c r="G80" s="177" t="s">
        <v>125</v>
      </c>
      <c r="H80" s="161" t="s">
        <v>118</v>
      </c>
    </row>
    <row r="81" spans="2:12" x14ac:dyDescent="0.25">
      <c r="C81" s="171"/>
      <c r="D81" s="171"/>
      <c r="E81" s="225" t="s">
        <v>15</v>
      </c>
      <c r="F81" s="226"/>
      <c r="G81" s="226"/>
      <c r="H81" s="192">
        <v>100</v>
      </c>
    </row>
    <row r="82" spans="2:12" x14ac:dyDescent="0.25">
      <c r="C82" s="171"/>
      <c r="D82" s="171"/>
      <c r="E82" s="184"/>
      <c r="F82" s="184"/>
      <c r="G82" s="184"/>
      <c r="H82" s="185"/>
    </row>
    <row r="83" spans="2:12" x14ac:dyDescent="0.25">
      <c r="B83"/>
      <c r="C83"/>
      <c r="D83"/>
      <c r="E83"/>
      <c r="F83"/>
      <c r="G83"/>
      <c r="H83" s="222" t="s">
        <v>164</v>
      </c>
      <c r="I83" s="223"/>
    </row>
    <row r="84" spans="2:12" x14ac:dyDescent="0.25">
      <c r="B84" s="164">
        <v>0</v>
      </c>
      <c r="C84" s="182" t="s">
        <v>122</v>
      </c>
      <c r="D84" s="187">
        <v>8000</v>
      </c>
      <c r="E84" s="173">
        <f>ROUND(B84/12000,3)</f>
        <v>0</v>
      </c>
      <c r="F84" s="181" t="s">
        <v>140</v>
      </c>
      <c r="G84" s="190">
        <f>E85</f>
        <v>0.66700000000000004</v>
      </c>
      <c r="H84" s="231"/>
      <c r="I84" s="232"/>
    </row>
    <row r="85" spans="2:12" x14ac:dyDescent="0.25">
      <c r="B85" s="164">
        <v>8000</v>
      </c>
      <c r="C85" s="182" t="s">
        <v>123</v>
      </c>
      <c r="D85" s="187">
        <v>14000</v>
      </c>
      <c r="E85" s="173">
        <f>ROUND(B85/12000,3)</f>
        <v>0.66700000000000004</v>
      </c>
      <c r="F85" s="181" t="s">
        <v>146</v>
      </c>
      <c r="G85" s="190">
        <f>E86</f>
        <v>1.167</v>
      </c>
      <c r="H85" s="231">
        <v>13.8</v>
      </c>
      <c r="I85" s="232"/>
    </row>
    <row r="86" spans="2:12" x14ac:dyDescent="0.25">
      <c r="B86" s="164">
        <v>14000</v>
      </c>
      <c r="C86" s="182" t="s">
        <v>123</v>
      </c>
      <c r="D86" s="188">
        <v>28000</v>
      </c>
      <c r="E86" s="173">
        <f>ROUND(B86/12000,3)</f>
        <v>1.167</v>
      </c>
      <c r="F86" s="181" t="s">
        <v>146</v>
      </c>
      <c r="G86" s="190">
        <f>E87</f>
        <v>2.3330000000000002</v>
      </c>
      <c r="H86" s="231">
        <v>14.3</v>
      </c>
      <c r="I86" s="232"/>
    </row>
    <row r="87" spans="2:12" x14ac:dyDescent="0.25">
      <c r="B87" s="164">
        <v>28000</v>
      </c>
      <c r="C87" s="182" t="s">
        <v>123</v>
      </c>
      <c r="D87" s="188"/>
      <c r="E87" s="173">
        <f>ROUND(B87/12000,3)</f>
        <v>2.3330000000000002</v>
      </c>
      <c r="F87" s="181" t="s">
        <v>146</v>
      </c>
      <c r="G87" s="189"/>
      <c r="H87" s="231" t="s">
        <v>118</v>
      </c>
      <c r="I87" s="232"/>
    </row>
    <row r="88" spans="2:12" x14ac:dyDescent="0.25">
      <c r="C88"/>
      <c r="D88"/>
      <c r="E88" s="225" t="s">
        <v>136</v>
      </c>
      <c r="F88" s="226"/>
      <c r="G88" s="227"/>
      <c r="H88" s="233">
        <v>75</v>
      </c>
      <c r="I88" s="234"/>
    </row>
    <row r="89" spans="2:12" x14ac:dyDescent="0.25">
      <c r="B89" s="163"/>
      <c r="C89" s="163"/>
      <c r="D89" s="163"/>
    </row>
    <row r="90" spans="2:12" ht="104.25" customHeight="1" x14ac:dyDescent="0.25">
      <c r="B90" s="224" t="s">
        <v>159</v>
      </c>
      <c r="C90" s="224"/>
      <c r="D90" s="224"/>
      <c r="E90" s="224"/>
      <c r="F90" s="224"/>
      <c r="G90" s="224"/>
      <c r="H90" s="224"/>
      <c r="I90" s="224"/>
      <c r="J90" s="224"/>
      <c r="K90" s="224"/>
      <c r="L90" s="205"/>
    </row>
  </sheetData>
  <sheetProtection algorithmName="SHA-512" hashValue="ErxeprSfiR4C8hHtQt9m7kSaO679jd9TbyDOUOdmpp3TLTQfdqkpVkZnaO5/+n/IEqU4pbk7jr9LPa4Sbrnj/g==" saltValue="ZR0d+QqufZFyVFjVW5GQMQ==" spinCount="100000" sheet="1" selectLockedCells="1"/>
  <mergeCells count="182">
    <mergeCell ref="L53:M53"/>
    <mergeCell ref="L45:M45"/>
    <mergeCell ref="L41:L42"/>
    <mergeCell ref="M41:M42"/>
    <mergeCell ref="L43:M43"/>
    <mergeCell ref="H35:M35"/>
    <mergeCell ref="L47:M47"/>
    <mergeCell ref="L48:M48"/>
    <mergeCell ref="L49:M49"/>
    <mergeCell ref="L50:M50"/>
    <mergeCell ref="L51:M52"/>
    <mergeCell ref="H43:I43"/>
    <mergeCell ref="J43:K43"/>
    <mergeCell ref="B38:B39"/>
    <mergeCell ref="B7:P7"/>
    <mergeCell ref="AU7:AY7"/>
    <mergeCell ref="BA7:BE7"/>
    <mergeCell ref="BG7:BK7"/>
    <mergeCell ref="BM7:BQ7"/>
    <mergeCell ref="BS7:BW7"/>
    <mergeCell ref="J33:K33"/>
    <mergeCell ref="B28:B29"/>
    <mergeCell ref="C28:C29"/>
    <mergeCell ref="D28:D29"/>
    <mergeCell ref="E28:E29"/>
    <mergeCell ref="F28:F29"/>
    <mergeCell ref="G28:G29"/>
    <mergeCell ref="L24:M24"/>
    <mergeCell ref="H23:M23"/>
    <mergeCell ref="L26:M27"/>
    <mergeCell ref="L28:M29"/>
    <mergeCell ref="L31:M32"/>
    <mergeCell ref="L33:M33"/>
    <mergeCell ref="L36:M36"/>
    <mergeCell ref="L38:M39"/>
    <mergeCell ref="C38:C39"/>
    <mergeCell ref="E51:E52"/>
    <mergeCell ref="H51:I52"/>
    <mergeCell ref="J51:K52"/>
    <mergeCell ref="D47:D48"/>
    <mergeCell ref="D49:D50"/>
    <mergeCell ref="F47:F48"/>
    <mergeCell ref="F49:F50"/>
    <mergeCell ref="J50:K50"/>
    <mergeCell ref="H28:I29"/>
    <mergeCell ref="B51:B52"/>
    <mergeCell ref="G51:G52"/>
    <mergeCell ref="C51:C52"/>
    <mergeCell ref="D51:D52"/>
    <mergeCell ref="F51:F52"/>
    <mergeCell ref="J28:K29"/>
    <mergeCell ref="B41:B42"/>
    <mergeCell ref="C41:C42"/>
    <mergeCell ref="D41:D42"/>
    <mergeCell ref="E41:E42"/>
    <mergeCell ref="F41:F42"/>
    <mergeCell ref="G41:G42"/>
    <mergeCell ref="I41:I42"/>
    <mergeCell ref="H41:H42"/>
    <mergeCell ref="K41:K42"/>
    <mergeCell ref="J41:J42"/>
    <mergeCell ref="B31:B32"/>
    <mergeCell ref="C31:C32"/>
    <mergeCell ref="D31:D32"/>
    <mergeCell ref="E31:E32"/>
    <mergeCell ref="F31:F32"/>
    <mergeCell ref="B49:B50"/>
    <mergeCell ref="C47:C48"/>
    <mergeCell ref="C49:C50"/>
    <mergeCell ref="B63:B64"/>
    <mergeCell ref="C63:C64"/>
    <mergeCell ref="D63:D64"/>
    <mergeCell ref="E63:E64"/>
    <mergeCell ref="F63:F64"/>
    <mergeCell ref="G63:G64"/>
    <mergeCell ref="E69:G69"/>
    <mergeCell ref="E75:G75"/>
    <mergeCell ref="J53:K53"/>
    <mergeCell ref="H67:H68"/>
    <mergeCell ref="E81:G81"/>
    <mergeCell ref="B67:B68"/>
    <mergeCell ref="C67:C68"/>
    <mergeCell ref="D67:D68"/>
    <mergeCell ref="E67:E68"/>
    <mergeCell ref="F67:F68"/>
    <mergeCell ref="G67:G68"/>
    <mergeCell ref="B65:B66"/>
    <mergeCell ref="C65:C66"/>
    <mergeCell ref="D65:D66"/>
    <mergeCell ref="E65:E66"/>
    <mergeCell ref="F65:F66"/>
    <mergeCell ref="G65:G66"/>
    <mergeCell ref="B15:D15"/>
    <mergeCell ref="B20:O20"/>
    <mergeCell ref="B21:O21"/>
    <mergeCell ref="B47:B48"/>
    <mergeCell ref="H47:I47"/>
    <mergeCell ref="H48:I48"/>
    <mergeCell ref="G49:G50"/>
    <mergeCell ref="B16:D16"/>
    <mergeCell ref="B17:D17"/>
    <mergeCell ref="E15:G15"/>
    <mergeCell ref="E16:G16"/>
    <mergeCell ref="B18:D18"/>
    <mergeCell ref="B26:B27"/>
    <mergeCell ref="C26:C27"/>
    <mergeCell ref="D26:D27"/>
    <mergeCell ref="E26:E27"/>
    <mergeCell ref="F26:F27"/>
    <mergeCell ref="G26:G27"/>
    <mergeCell ref="H26:I27"/>
    <mergeCell ref="J26:K27"/>
    <mergeCell ref="B19:O19"/>
    <mergeCell ref="H50:I50"/>
    <mergeCell ref="E18:G18"/>
    <mergeCell ref="D38:D39"/>
    <mergeCell ref="B1:D1"/>
    <mergeCell ref="N8:O8"/>
    <mergeCell ref="B8:D8"/>
    <mergeCell ref="B9:D9"/>
    <mergeCell ref="E8:G8"/>
    <mergeCell ref="E9:G9"/>
    <mergeCell ref="E12:G12"/>
    <mergeCell ref="E13:G13"/>
    <mergeCell ref="E14:G14"/>
    <mergeCell ref="B3:D3"/>
    <mergeCell ref="E1:O1"/>
    <mergeCell ref="B10:D10"/>
    <mergeCell ref="B11:D11"/>
    <mergeCell ref="B12:D12"/>
    <mergeCell ref="B13:D13"/>
    <mergeCell ref="E10:G10"/>
    <mergeCell ref="E11:G11"/>
    <mergeCell ref="E3:H3"/>
    <mergeCell ref="K3:N3"/>
    <mergeCell ref="K5:N5"/>
    <mergeCell ref="B14:D14"/>
    <mergeCell ref="AD7:AG7"/>
    <mergeCell ref="H24:I24"/>
    <mergeCell ref="J24:K24"/>
    <mergeCell ref="E33:G33"/>
    <mergeCell ref="H33:I33"/>
    <mergeCell ref="H45:I45"/>
    <mergeCell ref="J45:K45"/>
    <mergeCell ref="H49:I49"/>
    <mergeCell ref="G47:G48"/>
    <mergeCell ref="J49:K49"/>
    <mergeCell ref="G31:G32"/>
    <mergeCell ref="H31:I32"/>
    <mergeCell ref="J31:K32"/>
    <mergeCell ref="H36:I36"/>
    <mergeCell ref="J36:K36"/>
    <mergeCell ref="E43:G43"/>
    <mergeCell ref="E38:E39"/>
    <mergeCell ref="F38:F39"/>
    <mergeCell ref="G38:G39"/>
    <mergeCell ref="H38:I39"/>
    <mergeCell ref="J38:K39"/>
    <mergeCell ref="H83:I83"/>
    <mergeCell ref="B90:K90"/>
    <mergeCell ref="E88:G88"/>
    <mergeCell ref="AQ7:AS7"/>
    <mergeCell ref="H84:I84"/>
    <mergeCell ref="H85:I85"/>
    <mergeCell ref="H86:I86"/>
    <mergeCell ref="H87:I87"/>
    <mergeCell ref="H88:I88"/>
    <mergeCell ref="H55:I55"/>
    <mergeCell ref="J55:K55"/>
    <mergeCell ref="H60:K60"/>
    <mergeCell ref="E47:E48"/>
    <mergeCell ref="E49:E50"/>
    <mergeCell ref="J47:K47"/>
    <mergeCell ref="J48:K48"/>
    <mergeCell ref="E53:G53"/>
    <mergeCell ref="E60:G60"/>
    <mergeCell ref="H53:I53"/>
    <mergeCell ref="AI7:AK7"/>
    <mergeCell ref="AM7:AO7"/>
    <mergeCell ref="AA7:AB7"/>
    <mergeCell ref="R7:Y7"/>
    <mergeCell ref="E17:G17"/>
  </mergeCells>
  <dataValidations xWindow="737" yWindow="430" count="5">
    <dataValidation allowBlank="1" showInputMessage="1" showErrorMessage="1" promptTitle="Note" prompt="For Split/Package/Air HP: Units less than 5 tons do not require an EER value" sqref="M10:M18" xr:uid="{00000000-0002-0000-0000-000003000000}"/>
    <dataValidation type="list" allowBlank="1" showInputMessage="1" showErrorMessage="1" sqref="I9:I18" xr:uid="{688F4D69-C597-41D8-8E65-65ED98CAE3AC}">
      <formula1>$R$39:$R$40</formula1>
    </dataValidation>
    <dataValidation type="list" allowBlank="1" showInputMessage="1" showErrorMessage="1" sqref="J9:J18" xr:uid="{00000000-0002-0000-0000-000002000000}">
      <formula1>$R$22:$R$35</formula1>
    </dataValidation>
    <dataValidation allowBlank="1" showInputMessage="1" showErrorMessage="1" promptTitle="Note" prompt="Enter the rated capacity of the unit._x000a__x000a_Example:_x000a_3 ton unit ‘as advertised’, but it’s rated capacity is 2.833 tons" sqref="K9:L9 L10:L18" xr:uid="{00000000-0002-0000-0000-000000000000}"/>
    <dataValidation allowBlank="1" showInputMessage="1" showErrorMessage="1" promptTitle="Note" prompt="Enter the rated capacity of the unit._x000a__x000a_Example:_x000a_3 ton unit ‘as advertised’, but it’s rated capacity is 2.83 tons" sqref="K10:K18" xr:uid="{00000000-0002-0000-0000-000001000000}"/>
  </dataValidations>
  <pageMargins left="0.15" right="0.35" top="0.5" bottom="0.5" header="0.3" footer="0.3"/>
  <pageSetup scale="24" fitToHeight="0" orientation="portrait" r:id="rId1"/>
  <headerFooter>
    <oddFooter>&amp;C
Questions: Call the Business Program (808)839-8880 (Oahu) or toll free at (877)231-8222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737" yWindow="430" count="1">
        <x14:dataValidation type="list" allowBlank="1" showInputMessage="1" showErrorMessage="1" xr:uid="{00000000-0002-0000-0000-000004000000}">
          <x14:formula1>
            <xm:f>'EFLH | CF'!$A$3:$A$13</xm:f>
          </x14:formula1>
          <xm:sqref>K5:L5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autoPageBreaks="0" fitToPage="1"/>
  </sheetPr>
  <dimension ref="A1:V47"/>
  <sheetViews>
    <sheetView showGridLines="0" workbookViewId="0">
      <selection activeCell="E5" sqref="E5"/>
    </sheetView>
  </sheetViews>
  <sheetFormatPr defaultColWidth="8.85546875" defaultRowHeight="15" x14ac:dyDescent="0.25"/>
  <cols>
    <col min="1" max="3" width="2.7109375" style="41" customWidth="1"/>
    <col min="4" max="4" width="18.7109375" style="41" customWidth="1"/>
    <col min="5" max="10" width="16.7109375" style="41" customWidth="1"/>
    <col min="11" max="13" width="2.7109375" style="41" customWidth="1"/>
    <col min="14" max="14" width="18.7109375" style="41" customWidth="1"/>
    <col min="15" max="16" width="16.7109375" style="41" customWidth="1"/>
    <col min="17" max="19" width="2.7109375" style="41" customWidth="1"/>
    <col min="20" max="20" width="15.85546875" style="41" hidden="1" customWidth="1"/>
    <col min="21" max="21" width="17.28515625" style="41" hidden="1" customWidth="1"/>
    <col min="22" max="22" width="11.85546875" style="41" hidden="1" customWidth="1"/>
    <col min="23" max="16384" width="8.85546875" style="41"/>
  </cols>
  <sheetData>
    <row r="1" spans="1:22" ht="23.25" x14ac:dyDescent="0.35">
      <c r="B1" s="319" t="s">
        <v>55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1"/>
    </row>
    <row r="2" spans="1:22" x14ac:dyDescent="0.25"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1:22" x14ac:dyDescent="0.25">
      <c r="A3" s="15"/>
      <c r="B3" s="45"/>
      <c r="C3" s="46"/>
      <c r="D3" s="47" t="s">
        <v>56</v>
      </c>
      <c r="E3" s="48"/>
      <c r="F3" s="48"/>
      <c r="G3" s="47" t="s">
        <v>57</v>
      </c>
      <c r="H3" s="48"/>
      <c r="I3" s="48"/>
      <c r="J3" s="48"/>
      <c r="K3" s="48"/>
      <c r="L3" s="48"/>
      <c r="M3" s="49" t="s">
        <v>58</v>
      </c>
      <c r="N3" s="48"/>
      <c r="O3" s="48"/>
      <c r="P3" s="46"/>
      <c r="Q3" s="46"/>
      <c r="R3" s="50"/>
      <c r="S3" s="15"/>
      <c r="T3" s="15"/>
      <c r="U3" s="15"/>
      <c r="V3" s="15"/>
    </row>
    <row r="4" spans="1:22" x14ac:dyDescent="0.25">
      <c r="A4" s="15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50"/>
      <c r="S4" s="15"/>
      <c r="T4" s="51" t="s">
        <v>59</v>
      </c>
      <c r="U4" s="15"/>
    </row>
    <row r="5" spans="1:22" x14ac:dyDescent="0.25">
      <c r="A5" s="15"/>
      <c r="B5" s="45"/>
      <c r="C5" s="46"/>
      <c r="D5" s="52" t="s">
        <v>60</v>
      </c>
      <c r="E5" s="53"/>
      <c r="F5" s="53"/>
      <c r="G5" s="54" t="s">
        <v>61</v>
      </c>
      <c r="H5" s="55" t="e">
        <f>IF(AND(OR($E$5=$T$5,$E$5=$T$6),OR($U$22=$T$19,$U$22=$T$20,$U$22=$T$21)), TRUE, IF(AND(OR($E$5=$T$7,$E$5=$T$8),$E$8&gt;=$U$31), TRUE, IF(AND($E$5=$T$9,$E$8&gt;=$U$37),TRUE, IF(AND($E$5=$T$10,$E$8&gt;=$U$43), TRUE, FALSE))))</f>
        <v>#N/A</v>
      </c>
      <c r="I5" s="43"/>
      <c r="J5" s="46"/>
      <c r="K5" s="46"/>
      <c r="L5" s="46"/>
      <c r="M5" s="54" t="s">
        <v>62</v>
      </c>
      <c r="N5" s="56" t="str">
        <f>IF(OR($E$5=$T$5,$E$5=$T$6),$U$23,IF(OR($E$5=$T$7,$E$5=$T$8),$U$32,IF($E$5=$T$9,$U$38,IF($E$5=$T$10,$U$44, "Missing Input"))))</f>
        <v>Missing Input</v>
      </c>
      <c r="O5" s="57" t="str">
        <f>O6</f>
        <v>EER</v>
      </c>
      <c r="P5" s="46"/>
      <c r="Q5" s="46"/>
      <c r="R5" s="50"/>
      <c r="S5" s="15"/>
      <c r="T5" s="25" t="s">
        <v>7</v>
      </c>
      <c r="U5" s="15"/>
    </row>
    <row r="6" spans="1:22" x14ac:dyDescent="0.25">
      <c r="A6" s="15"/>
      <c r="B6" s="45"/>
      <c r="C6" s="46"/>
      <c r="D6" s="52" t="s">
        <v>63</v>
      </c>
      <c r="E6" s="58"/>
      <c r="F6" s="46"/>
      <c r="G6" s="54" t="s">
        <v>64</v>
      </c>
      <c r="H6" s="55" t="e">
        <f>IF(AND(OR($E$5=$T$5,$E$5=$T$6),OR($V$22=$T$19,$V$22=$T$20,$V$22=$T$21)), TRUE, IF(AND(OR($E$5=$T$7,$E$5=$T$8),$E$9&gt;=$U$31), TRUE, IF(AND($E$5=$T$9,$E$9&gt;=$U$37),TRUE, IF(AND($E$5=$T$10,$E$9&gt;=$U$43), TRUE, FALSE))))</f>
        <v>#N/A</v>
      </c>
      <c r="I6" s="43"/>
      <c r="J6" s="46"/>
      <c r="K6" s="46"/>
      <c r="L6" s="46"/>
      <c r="M6" s="54" t="s">
        <v>65</v>
      </c>
      <c r="N6" s="56">
        <f>IF(AND(OR($E$5=$T$5,$E$5=$T$6),$E$6&lt;65000),$E$9,$E$8)</f>
        <v>0</v>
      </c>
      <c r="O6" s="59" t="str">
        <f>IF(AND(OR($E$5=$T$5,$E$5=$T$6),$E$6&lt;65000),$F$9,$F$8)</f>
        <v>EER</v>
      </c>
      <c r="P6" s="46"/>
      <c r="Q6" s="46"/>
      <c r="R6" s="50"/>
      <c r="S6" s="15"/>
      <c r="T6" s="25" t="s">
        <v>13</v>
      </c>
      <c r="U6" s="15"/>
    </row>
    <row r="7" spans="1:22" x14ac:dyDescent="0.25">
      <c r="A7" s="15"/>
      <c r="B7" s="45"/>
      <c r="C7" s="46"/>
      <c r="D7" s="52" t="s">
        <v>66</v>
      </c>
      <c r="E7" s="53"/>
      <c r="F7" s="46"/>
      <c r="G7" s="54"/>
      <c r="H7" s="48"/>
      <c r="I7" s="43"/>
      <c r="J7" s="46"/>
      <c r="K7" s="46"/>
      <c r="L7" s="46"/>
      <c r="M7" s="54" t="s">
        <v>67</v>
      </c>
      <c r="N7" s="60" t="str">
        <f>IFERROR(12/$N$5-12/$N$6, "Missing Input")</f>
        <v>Missing Input</v>
      </c>
      <c r="O7" s="46"/>
      <c r="P7" s="46"/>
      <c r="Q7" s="46"/>
      <c r="R7" s="50"/>
      <c r="S7" s="15"/>
      <c r="T7" s="25" t="s">
        <v>41</v>
      </c>
      <c r="U7" s="15"/>
    </row>
    <row r="8" spans="1:22" x14ac:dyDescent="0.25">
      <c r="A8" s="15"/>
      <c r="B8" s="45"/>
      <c r="C8" s="46"/>
      <c r="D8" s="54" t="s">
        <v>68</v>
      </c>
      <c r="E8" s="61"/>
      <c r="F8" s="46" t="s">
        <v>69</v>
      </c>
      <c r="G8" s="54" t="s">
        <v>70</v>
      </c>
      <c r="H8" s="55" t="e">
        <f>IF(AND(OR($E$5=$T$5,$E$5=$T$6),OR($U$22=$T$20,$U$22=$T$21)), TRUE, IF(AND(OR($E$5=$T$7,$E$5=$T$8),$E$8&gt;=$U$31), TRUE, IF(AND($E$5=$T$9,$E$8&gt;=$U$37),TRUE, IF(AND($E$5=$T$10,$E$8&gt;=$U$43), TRUE, FALSE))))</f>
        <v>#N/A</v>
      </c>
      <c r="I8" s="43"/>
      <c r="J8" s="46"/>
      <c r="K8" s="46"/>
      <c r="L8" s="46"/>
      <c r="M8" s="52" t="s">
        <v>71</v>
      </c>
      <c r="N8" s="62" t="str">
        <f>IFERROR(IF(OR($E$7='EFLH &amp; CF'!$A$8, $E$7='EFLH &amp; CF'!$A$13), $E$11, VLOOKUP($E$7, 'EFLH &amp; CF'!$A$7:$C$17, 3,FALSE)), "Missing Input")</f>
        <v>Missing Input</v>
      </c>
      <c r="O8" s="46"/>
      <c r="P8" s="46"/>
      <c r="Q8" s="46"/>
      <c r="R8" s="50"/>
      <c r="S8" s="15"/>
      <c r="T8" s="25" t="s">
        <v>42</v>
      </c>
      <c r="U8" s="15"/>
    </row>
    <row r="9" spans="1:22" x14ac:dyDescent="0.25">
      <c r="A9" s="15"/>
      <c r="B9" s="45"/>
      <c r="C9" s="46"/>
      <c r="D9" s="54" t="s">
        <v>72</v>
      </c>
      <c r="E9" s="61"/>
      <c r="F9" s="46" t="str">
        <f>IF(AND(OR($E$5=$T$5,$E$5=$T$6),$E$6&lt;65000), "SEER", IF(OR($E$5=$T$5,$E$5=$T$6), "IEER", ""))</f>
        <v/>
      </c>
      <c r="G9" s="54" t="s">
        <v>73</v>
      </c>
      <c r="H9" s="55" t="e">
        <f>IF(AND(OR($E$5=$T$5,$E$5=$T$6),OR($V$22=$T$20,$V$22=$T$21)), TRUE, IF(AND(OR($E$5=$T$7,$E$5=$T$8),$E$9&gt;=$U$31), TRUE, IF(AND($E$5=$T$9,$E$9&gt;=$U$37),TRUE, IF(AND($E$5=$T$10,$E$9&gt;=$U$43), TRUE, FALSE))))</f>
        <v>#N/A</v>
      </c>
      <c r="I9" s="43"/>
      <c r="J9" s="46"/>
      <c r="K9" s="46"/>
      <c r="L9" s="46"/>
      <c r="M9" s="52" t="s">
        <v>74</v>
      </c>
      <c r="N9" s="63" t="str">
        <f>IFERROR(IF(OR($E$7='EFLH &amp; CF'!$A$8, $E$7='EFLH &amp; CF'!$A$13), $E$12, VLOOKUP($E$7, 'EFLH &amp; CF'!$A$7:$C$17, 2,FALSE)), "Missing Input")</f>
        <v>Missing Input</v>
      </c>
      <c r="O9" s="46"/>
      <c r="P9" s="46"/>
      <c r="Q9" s="46"/>
      <c r="R9" s="50"/>
      <c r="S9" s="15"/>
      <c r="T9" s="25" t="s">
        <v>50</v>
      </c>
      <c r="U9" s="15"/>
    </row>
    <row r="10" spans="1:22" x14ac:dyDescent="0.25">
      <c r="A10" s="15"/>
      <c r="B10" s="45"/>
      <c r="C10" s="46"/>
      <c r="D10" s="64" t="s">
        <v>75</v>
      </c>
      <c r="E10" s="43"/>
      <c r="F10" s="46"/>
      <c r="G10" s="54"/>
      <c r="H10" s="48"/>
      <c r="I10" s="43"/>
      <c r="J10" s="46"/>
      <c r="K10" s="46"/>
      <c r="L10" s="46"/>
      <c r="M10" s="54" t="s">
        <v>76</v>
      </c>
      <c r="N10" s="65" t="str">
        <f>IFERROR(($E$6/12000)*$N$7*$N$8, "Missing Input")</f>
        <v>Missing Input</v>
      </c>
      <c r="O10" s="46"/>
      <c r="P10" s="46"/>
      <c r="Q10" s="46"/>
      <c r="R10" s="50"/>
      <c r="S10" s="15"/>
      <c r="T10" s="25" t="s">
        <v>44</v>
      </c>
      <c r="U10" s="15"/>
    </row>
    <row r="11" spans="1:22" x14ac:dyDescent="0.25">
      <c r="A11" s="15"/>
      <c r="B11" s="45"/>
      <c r="C11" s="46"/>
      <c r="D11" s="52" t="s">
        <v>77</v>
      </c>
      <c r="E11" s="66"/>
      <c r="F11" s="46"/>
      <c r="G11" s="54" t="s">
        <v>78</v>
      </c>
      <c r="H11" s="55" t="e">
        <f>IF(AND(OR($E$5=$T$5,$E$5=$T$6),$U$22=$T$21), TRUE, IF(AND(OR($E$5=$T$7,$E$5=$T$8),$E$8&gt;=$U$31), TRUE, IF(AND($E$5=$T$9,$E$8&gt;=$U$37),TRUE, IF(AND($E$5=$T$10,$E$8&gt;=$U$43), TRUE, FALSE))))</f>
        <v>#N/A</v>
      </c>
      <c r="I11" s="43"/>
      <c r="J11" s="46"/>
      <c r="K11" s="46"/>
      <c r="L11" s="46"/>
      <c r="M11" s="54" t="s">
        <v>79</v>
      </c>
      <c r="N11" s="67" t="str">
        <f>IFERROR(($E$6/12000)*$N$7*$N$9, "Missing Input")</f>
        <v>Missing Input</v>
      </c>
      <c r="O11" s="46"/>
      <c r="P11" s="46"/>
      <c r="Q11" s="46"/>
      <c r="R11" s="50"/>
      <c r="S11" s="15"/>
      <c r="U11" s="15"/>
    </row>
    <row r="12" spans="1:22" x14ac:dyDescent="0.25">
      <c r="A12" s="15"/>
      <c r="B12" s="45"/>
      <c r="C12" s="46"/>
      <c r="D12" s="52" t="s">
        <v>74</v>
      </c>
      <c r="E12" s="68"/>
      <c r="F12" s="46"/>
      <c r="G12" s="54" t="s">
        <v>80</v>
      </c>
      <c r="H12" s="55" t="e">
        <f>IF(AND(OR($E$5=$T$5,$E$5=$T$6),$V$22=$T$21), TRUE, IF(AND(OR($E$5=$T$7,$E$5=$T$8),$E$9&gt;=$U$31), TRUE, IF(AND($E$5=$T$9,$E$9&gt;=$U$37),TRUE, IF(AND($E$5=$T$10,$E$9&gt;=$U$43), TRUE, FALSE))))</f>
        <v>#N/A</v>
      </c>
      <c r="I12" s="43"/>
      <c r="J12" s="46"/>
      <c r="K12" s="46"/>
      <c r="L12" s="46"/>
      <c r="M12" s="46"/>
      <c r="N12" s="46"/>
      <c r="O12" s="46"/>
      <c r="P12" s="46"/>
      <c r="Q12" s="46"/>
      <c r="R12" s="50"/>
      <c r="S12" s="15"/>
      <c r="T12" s="69"/>
      <c r="U12" s="15"/>
    </row>
    <row r="13" spans="1:22" x14ac:dyDescent="0.25">
      <c r="A13" s="15"/>
      <c r="B13" s="45"/>
      <c r="C13" s="46"/>
      <c r="D13" s="43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50"/>
      <c r="S13" s="15"/>
      <c r="T13" s="69"/>
      <c r="U13" s="15"/>
    </row>
    <row r="14" spans="1:22" x14ac:dyDescent="0.25">
      <c r="A14" s="15"/>
      <c r="B14" s="45"/>
      <c r="C14" s="70"/>
      <c r="D14" s="71"/>
      <c r="E14" s="71"/>
      <c r="F14" s="71"/>
      <c r="G14" s="71"/>
      <c r="H14" s="71"/>
      <c r="I14" s="71"/>
      <c r="J14" s="71"/>
      <c r="K14" s="72"/>
      <c r="L14" s="46"/>
      <c r="M14" s="70"/>
      <c r="N14" s="71"/>
      <c r="O14" s="71"/>
      <c r="P14" s="71"/>
      <c r="Q14" s="72"/>
      <c r="R14" s="50"/>
      <c r="S14" s="15"/>
      <c r="T14" s="69"/>
      <c r="U14" s="15"/>
    </row>
    <row r="15" spans="1:22" ht="15.75" thickBot="1" x14ac:dyDescent="0.3">
      <c r="A15" s="15"/>
      <c r="B15" s="45"/>
      <c r="C15" s="73"/>
      <c r="D15" s="46" t="s">
        <v>81</v>
      </c>
      <c r="E15" s="46"/>
      <c r="F15" s="46"/>
      <c r="G15" s="46"/>
      <c r="H15" s="46"/>
      <c r="I15" s="46"/>
      <c r="J15" s="46"/>
      <c r="K15" s="74"/>
      <c r="L15" s="46"/>
      <c r="M15" s="73"/>
      <c r="N15" s="46" t="s">
        <v>82</v>
      </c>
      <c r="O15" s="46"/>
      <c r="P15" s="46"/>
      <c r="Q15" s="74"/>
      <c r="R15" s="50"/>
      <c r="S15" s="15"/>
      <c r="T15" s="15"/>
      <c r="U15" s="15"/>
    </row>
    <row r="16" spans="1:22" ht="15.75" thickBot="1" x14ac:dyDescent="0.3">
      <c r="A16" s="15"/>
      <c r="B16" s="45"/>
      <c r="C16" s="73"/>
      <c r="D16" s="46"/>
      <c r="E16" s="322" t="s">
        <v>11</v>
      </c>
      <c r="F16" s="323"/>
      <c r="G16" s="322" t="s">
        <v>12</v>
      </c>
      <c r="H16" s="323"/>
      <c r="I16" s="322" t="s">
        <v>83</v>
      </c>
      <c r="J16" s="323"/>
      <c r="K16" s="75"/>
      <c r="L16" s="76"/>
      <c r="M16" s="73"/>
      <c r="N16" s="46"/>
      <c r="O16" s="46"/>
      <c r="P16" s="46"/>
      <c r="Q16" s="74"/>
      <c r="R16" s="50"/>
      <c r="S16" s="15"/>
    </row>
    <row r="17" spans="1:22" ht="15" customHeight="1" thickBot="1" x14ac:dyDescent="0.3">
      <c r="A17" s="15"/>
      <c r="B17" s="45"/>
      <c r="C17" s="73"/>
      <c r="D17" s="46"/>
      <c r="E17" s="77" t="s">
        <v>7</v>
      </c>
      <c r="F17" s="78" t="s">
        <v>13</v>
      </c>
      <c r="G17" s="77" t="s">
        <v>7</v>
      </c>
      <c r="H17" s="78" t="s">
        <v>13</v>
      </c>
      <c r="I17" s="77" t="s">
        <v>7</v>
      </c>
      <c r="J17" s="78" t="s">
        <v>13</v>
      </c>
      <c r="K17" s="75"/>
      <c r="L17" s="76"/>
      <c r="M17" s="73"/>
      <c r="N17" s="46"/>
      <c r="O17" s="79" t="s">
        <v>7</v>
      </c>
      <c r="P17" s="80" t="s">
        <v>13</v>
      </c>
      <c r="Q17" s="75"/>
      <c r="R17" s="81"/>
      <c r="S17" s="76"/>
      <c r="T17" s="324" t="s">
        <v>45</v>
      </c>
      <c r="U17" s="324"/>
      <c r="V17" s="324"/>
    </row>
    <row r="18" spans="1:22" x14ac:dyDescent="0.25">
      <c r="A18" s="15"/>
      <c r="B18" s="45"/>
      <c r="C18" s="73"/>
      <c r="D18" s="313" t="s">
        <v>84</v>
      </c>
      <c r="E18" s="82">
        <v>12</v>
      </c>
      <c r="F18" s="83">
        <v>12.5</v>
      </c>
      <c r="G18" s="82">
        <v>12</v>
      </c>
      <c r="H18" s="83">
        <v>13</v>
      </c>
      <c r="I18" s="84">
        <v>12.5</v>
      </c>
      <c r="J18" s="85">
        <v>13</v>
      </c>
      <c r="K18" s="86"/>
      <c r="L18" s="87"/>
      <c r="M18" s="73"/>
      <c r="N18" s="313" t="s">
        <v>84</v>
      </c>
      <c r="O18" s="315">
        <v>9.6999999999999993</v>
      </c>
      <c r="P18" s="317">
        <v>10</v>
      </c>
      <c r="Q18" s="88"/>
      <c r="R18" s="89"/>
      <c r="S18" s="87"/>
      <c r="T18" s="90" t="s">
        <v>85</v>
      </c>
      <c r="U18" s="91" t="str">
        <f>IF($E$6&lt;65000,$D$18,IF(AND($E$6&gt;=65000,$E$6&lt;135000),$D$20,IF(AND($E$6&gt;=135000,$E$6&lt;240000),$D$22,IF(AND($E$6&gt;=240000,$E$6&lt;760000),$D$24,$D$26))))</f>
        <v xml:space="preserve"> &lt;65,000</v>
      </c>
      <c r="V18" s="92"/>
    </row>
    <row r="19" spans="1:22" ht="15.75" thickBot="1" x14ac:dyDescent="0.3">
      <c r="A19" s="15"/>
      <c r="B19" s="45"/>
      <c r="C19" s="73"/>
      <c r="D19" s="314"/>
      <c r="E19" s="93">
        <v>15</v>
      </c>
      <c r="F19" s="94">
        <v>15</v>
      </c>
      <c r="G19" s="93">
        <v>16</v>
      </c>
      <c r="H19" s="94">
        <v>16</v>
      </c>
      <c r="I19" s="95">
        <v>17</v>
      </c>
      <c r="J19" s="96">
        <v>18</v>
      </c>
      <c r="K19" s="97"/>
      <c r="L19" s="98"/>
      <c r="M19" s="73"/>
      <c r="N19" s="314"/>
      <c r="O19" s="316"/>
      <c r="P19" s="318"/>
      <c r="Q19" s="88"/>
      <c r="R19" s="89"/>
      <c r="S19" s="98"/>
      <c r="T19" s="99" t="s">
        <v>86</v>
      </c>
      <c r="U19" s="100" t="b">
        <f>IF(AND($E$5=$T$5,$U$18=$D$18),$E$19,IF(AND($E$5=$T$6,$U$18=$D$18),$F$19,IF($U$18=$D$20,$E$20,IF($U$18=$D$22,$E$22,IF($U$18=$D$24,$E$24,IF($U$18=$D$26,$E$26,FALSE))))))</f>
        <v>0</v>
      </c>
      <c r="V19" s="101" t="b">
        <f>IF(AND($E$5=$T$5,$U$18=$D$18),$E$19,IF(AND($E$5=$T$6,$U$18=$D$18),$F$19,IF($U$18=$D$20,$E$21,IF($U$18=$D$22,$E$23,IF($U$18=$D$24,$E$25,IF($U$18=$D$26,$E$27,FALSE))))))</f>
        <v>0</v>
      </c>
    </row>
    <row r="20" spans="1:22" x14ac:dyDescent="0.25">
      <c r="A20" s="15"/>
      <c r="B20" s="45"/>
      <c r="C20" s="73"/>
      <c r="D20" s="313" t="s">
        <v>87</v>
      </c>
      <c r="E20" s="331">
        <v>12.2</v>
      </c>
      <c r="F20" s="332"/>
      <c r="G20" s="331">
        <v>12.2</v>
      </c>
      <c r="H20" s="332"/>
      <c r="I20" s="331">
        <v>12.6</v>
      </c>
      <c r="J20" s="332"/>
      <c r="K20" s="86"/>
      <c r="L20" s="87"/>
      <c r="M20" s="73"/>
      <c r="N20" s="313" t="s">
        <v>87</v>
      </c>
      <c r="O20" s="325">
        <v>10.3</v>
      </c>
      <c r="P20" s="326"/>
      <c r="Q20" s="102"/>
      <c r="R20" s="103"/>
      <c r="S20" s="87"/>
      <c r="T20" s="99" t="s">
        <v>88</v>
      </c>
      <c r="U20" s="100" t="b">
        <f>IF(AND($E$5=$T$5,$U$18=$D$18),$G$19,IF(AND($E$5=$T$6,$U$18=$D$18),$H$19,IF($U$18=$D$20,$G$20,IF($U$18=$D$22,$G$22,IF($U$18=$D$24,$G$24,IF($U$18=$D$26,$G$26,FALSE))))))</f>
        <v>0</v>
      </c>
      <c r="V20" s="101" t="b">
        <f>IF(AND($E$5=$T$5,$U$18=$D$18),$G$19,IF(AND($E$5=$T$6,$U$18=$D$18),$H$19,IF($U$18=$D$20,$G$21,IF($U$18=$D$22,$G$23,IF($U$18=$D$24,$G$25,IF($U$18=$D$26,$G$27,FALSE))))))</f>
        <v>0</v>
      </c>
    </row>
    <row r="21" spans="1:22" ht="15.75" thickBot="1" x14ac:dyDescent="0.3">
      <c r="A21" s="15"/>
      <c r="B21" s="45"/>
      <c r="C21" s="73"/>
      <c r="D21" s="314"/>
      <c r="E21" s="329">
        <v>14</v>
      </c>
      <c r="F21" s="330"/>
      <c r="G21" s="329">
        <v>14.8</v>
      </c>
      <c r="H21" s="330"/>
      <c r="I21" s="329">
        <v>18</v>
      </c>
      <c r="J21" s="330"/>
      <c r="K21" s="104"/>
      <c r="L21" s="105"/>
      <c r="M21" s="73"/>
      <c r="N21" s="314"/>
      <c r="O21" s="327"/>
      <c r="P21" s="328"/>
      <c r="Q21" s="102"/>
      <c r="R21" s="103"/>
      <c r="S21" s="87"/>
      <c r="T21" s="99" t="s">
        <v>89</v>
      </c>
      <c r="U21" s="100" t="b">
        <f>IF(AND($E$5=$T$5,$U$18=$D$18),$I$19,IF(AND($E$5=$T$6,$U$18=$D$18),$J$19,IF($U$18=$D$20,$I$20,IF($U$18=$D$22,$I$22,IF($U$18=$D$24,$I$24,IF($U$18=$D$26,$I$26,FALSE))))))</f>
        <v>0</v>
      </c>
      <c r="V21" s="101" t="b">
        <f>IF(AND($E$5=$T$5,$U$18=$D$18),$I$19,IF(AND($E$5=$T$6,$U$18=$D$18),$J$19,IF($U$18=$D$20,$I$21,IF($U$18=$D$22,$I$23,IF($U$18=$D$24,$I$25,IF($U$18=$D$26,$I$26,FALSE))))))</f>
        <v>0</v>
      </c>
    </row>
    <row r="22" spans="1:22" x14ac:dyDescent="0.25">
      <c r="A22" s="15"/>
      <c r="B22" s="45"/>
      <c r="C22" s="73"/>
      <c r="D22" s="313" t="s">
        <v>90</v>
      </c>
      <c r="E22" s="331">
        <v>12.2</v>
      </c>
      <c r="F22" s="332"/>
      <c r="G22" s="331">
        <v>12.2</v>
      </c>
      <c r="H22" s="332"/>
      <c r="I22" s="331">
        <v>12.2</v>
      </c>
      <c r="J22" s="332"/>
      <c r="K22" s="86"/>
      <c r="L22" s="87"/>
      <c r="M22" s="73"/>
      <c r="N22" s="313" t="s">
        <v>90</v>
      </c>
      <c r="O22" s="325">
        <v>9.6999999999999993</v>
      </c>
      <c r="P22" s="326"/>
      <c r="Q22" s="102"/>
      <c r="R22" s="103"/>
      <c r="S22" s="87"/>
      <c r="T22" s="99" t="s">
        <v>91</v>
      </c>
      <c r="U22" s="92" t="str">
        <f>IF($E$8&gt;=$U$21, $T$21, IF($E$8&gt;=$U$20,$T$20, IF($E$8&gt;=$U$19,$T$19)))</f>
        <v>Tier 3 Cutoff</v>
      </c>
      <c r="V22" s="92" t="str">
        <f>IF($E$9&gt;=$V$21, $T$21, IF($E$9&gt;=$V$20,$T$20, IF($E$9&gt;=$V$19,$T$19)))</f>
        <v>Tier 3 Cutoff</v>
      </c>
    </row>
    <row r="23" spans="1:22" ht="15.75" thickBot="1" x14ac:dyDescent="0.3">
      <c r="A23" s="15"/>
      <c r="B23" s="45"/>
      <c r="C23" s="73"/>
      <c r="D23" s="314"/>
      <c r="E23" s="329">
        <v>13.2</v>
      </c>
      <c r="F23" s="330"/>
      <c r="G23" s="329">
        <v>14.2</v>
      </c>
      <c r="H23" s="330"/>
      <c r="I23" s="329">
        <v>17</v>
      </c>
      <c r="J23" s="330"/>
      <c r="K23" s="104"/>
      <c r="L23" s="105"/>
      <c r="M23" s="73"/>
      <c r="N23" s="314"/>
      <c r="O23" s="327"/>
      <c r="P23" s="328"/>
      <c r="Q23" s="102"/>
      <c r="R23" s="103"/>
      <c r="S23" s="87"/>
      <c r="T23" s="90" t="s">
        <v>92</v>
      </c>
      <c r="U23" s="106" t="b">
        <f>IF(AND($E$5=$T$5,$U$18=$N$18),$O$18,IF(AND($E$5=$T$6,$U$18=$N$18),$P$18,IF($U$18=$N$20,$O$20,IF($U$18=$N$22,$O$22,IF($U$18=$N$24,$O$24,IF($U$18=$N$26,$O$26,FALSE))))))</f>
        <v>0</v>
      </c>
      <c r="V23" s="101" t="b">
        <f>IF(AND($E$5=$T$5,$U$18=$N$18),$O$18,IF(AND($E$5=$T$6,$U$18=$N$18),$P$18,IF($U$18=$N$20,$O$20,IF($U$18=$N$22,$O$22,IF($U$18=$N$24,$O$25,IF($U$18=$N$26,$O$27,FALSE))))))</f>
        <v>0</v>
      </c>
    </row>
    <row r="24" spans="1:22" x14ac:dyDescent="0.25">
      <c r="A24" s="15"/>
      <c r="B24" s="45"/>
      <c r="C24" s="73"/>
      <c r="D24" s="313" t="s">
        <v>93</v>
      </c>
      <c r="E24" s="331">
        <v>10.5</v>
      </c>
      <c r="F24" s="332"/>
      <c r="G24" s="331">
        <v>10.8</v>
      </c>
      <c r="H24" s="332"/>
      <c r="I24" s="331">
        <v>10.8</v>
      </c>
      <c r="J24" s="332"/>
      <c r="K24" s="86"/>
      <c r="L24" s="87"/>
      <c r="M24" s="73"/>
      <c r="N24" s="313" t="s">
        <v>93</v>
      </c>
      <c r="O24" s="331">
        <v>9.5</v>
      </c>
      <c r="P24" s="332"/>
      <c r="Q24" s="86"/>
      <c r="R24" s="107"/>
      <c r="S24" s="87"/>
      <c r="T24" s="108"/>
      <c r="U24" s="109"/>
    </row>
    <row r="25" spans="1:22" ht="15.75" thickBot="1" x14ac:dyDescent="0.3">
      <c r="A25" s="15"/>
      <c r="B25" s="45"/>
      <c r="C25" s="73"/>
      <c r="D25" s="314"/>
      <c r="E25" s="329">
        <v>12.3</v>
      </c>
      <c r="F25" s="330"/>
      <c r="G25" s="329">
        <v>13.2</v>
      </c>
      <c r="H25" s="330"/>
      <c r="I25" s="329">
        <v>14.5</v>
      </c>
      <c r="J25" s="330"/>
      <c r="K25" s="104"/>
      <c r="L25" s="105"/>
      <c r="M25" s="73"/>
      <c r="N25" s="314"/>
      <c r="O25" s="329">
        <v>9.6999999999999993</v>
      </c>
      <c r="P25" s="330"/>
      <c r="Q25" s="104"/>
      <c r="R25" s="110"/>
      <c r="S25" s="105"/>
      <c r="T25" s="108"/>
      <c r="U25" s="111"/>
    </row>
    <row r="26" spans="1:22" x14ac:dyDescent="0.25">
      <c r="A26" s="15"/>
      <c r="B26" s="45"/>
      <c r="C26" s="73"/>
      <c r="D26" s="313" t="s">
        <v>94</v>
      </c>
      <c r="E26" s="331">
        <v>9.9</v>
      </c>
      <c r="F26" s="332"/>
      <c r="G26" s="331">
        <v>10.4</v>
      </c>
      <c r="H26" s="332"/>
      <c r="I26" s="313" t="s">
        <v>95</v>
      </c>
      <c r="J26" s="335"/>
      <c r="K26" s="75"/>
      <c r="L26" s="76"/>
      <c r="M26" s="73"/>
      <c r="N26" s="313" t="s">
        <v>94</v>
      </c>
      <c r="O26" s="331">
        <v>9.1999999999999993</v>
      </c>
      <c r="P26" s="332"/>
      <c r="Q26" s="86"/>
      <c r="R26" s="107"/>
      <c r="S26" s="87"/>
      <c r="T26" s="108"/>
      <c r="U26" s="112"/>
    </row>
    <row r="27" spans="1:22" ht="15.75" thickBot="1" x14ac:dyDescent="0.3">
      <c r="A27" s="15"/>
      <c r="B27" s="45"/>
      <c r="C27" s="73"/>
      <c r="D27" s="314"/>
      <c r="E27" s="329">
        <v>11.6</v>
      </c>
      <c r="F27" s="330"/>
      <c r="G27" s="329">
        <v>12.3</v>
      </c>
      <c r="H27" s="330"/>
      <c r="I27" s="314"/>
      <c r="J27" s="336"/>
      <c r="K27" s="75"/>
      <c r="L27" s="76"/>
      <c r="M27" s="73"/>
      <c r="N27" s="314"/>
      <c r="O27" s="329">
        <v>9.4</v>
      </c>
      <c r="P27" s="330"/>
      <c r="Q27" s="104"/>
      <c r="R27" s="110"/>
      <c r="S27" s="105"/>
    </row>
    <row r="28" spans="1:22" ht="15.75" thickBot="1" x14ac:dyDescent="0.3">
      <c r="B28" s="42"/>
      <c r="C28" s="113"/>
      <c r="D28" s="43"/>
      <c r="E28" s="43"/>
      <c r="F28" s="43"/>
      <c r="G28" s="43"/>
      <c r="H28" s="43"/>
      <c r="I28" s="43"/>
      <c r="J28" s="43"/>
      <c r="K28" s="114"/>
      <c r="L28" s="43"/>
      <c r="M28" s="113"/>
      <c r="N28" s="43"/>
      <c r="O28" s="43"/>
      <c r="P28" s="43"/>
      <c r="Q28" s="114"/>
      <c r="R28" s="44"/>
    </row>
    <row r="29" spans="1:22" ht="15.75" thickBot="1" x14ac:dyDescent="0.3">
      <c r="B29" s="42"/>
      <c r="C29" s="113"/>
      <c r="D29" s="43"/>
      <c r="E29" s="337" t="s">
        <v>41</v>
      </c>
      <c r="F29" s="338"/>
      <c r="G29" s="337" t="s">
        <v>42</v>
      </c>
      <c r="H29" s="338"/>
      <c r="I29" s="43"/>
      <c r="J29" s="43"/>
      <c r="K29" s="114"/>
      <c r="L29" s="43"/>
      <c r="M29" s="113"/>
      <c r="N29" s="43"/>
      <c r="O29" s="115" t="s">
        <v>41</v>
      </c>
      <c r="P29" s="116" t="s">
        <v>42</v>
      </c>
      <c r="Q29" s="114"/>
      <c r="R29" s="44"/>
      <c r="S29" s="43"/>
      <c r="T29" s="333" t="s">
        <v>46</v>
      </c>
      <c r="U29" s="333"/>
    </row>
    <row r="30" spans="1:22" ht="15.75" thickBot="1" x14ac:dyDescent="0.3">
      <c r="B30" s="42"/>
      <c r="C30" s="113"/>
      <c r="D30" s="43"/>
      <c r="E30" s="117" t="s">
        <v>48</v>
      </c>
      <c r="F30" s="28" t="s">
        <v>49</v>
      </c>
      <c r="G30" s="27" t="s">
        <v>48</v>
      </c>
      <c r="H30" s="28" t="s">
        <v>49</v>
      </c>
      <c r="I30" s="43"/>
      <c r="J30" s="43"/>
      <c r="K30" s="114"/>
      <c r="L30" s="43"/>
      <c r="M30" s="113"/>
      <c r="N30" s="118" t="s">
        <v>96</v>
      </c>
      <c r="O30" s="119" t="str">
        <f>IF(ISBLANK(E6), "Size Dependent", ROUND(12.5-(0.213*$E$6/1000), 1))</f>
        <v>Size Dependent</v>
      </c>
      <c r="P30" s="120" t="str">
        <f>IF(ISBLANK(E6), "Size Dependent", ROUND(12.3-(0.213*$E$6/1000), 1))</f>
        <v>Size Dependent</v>
      </c>
      <c r="Q30" s="121"/>
      <c r="R30" s="122"/>
      <c r="S30" s="123"/>
      <c r="T30" s="90" t="s">
        <v>85</v>
      </c>
      <c r="U30" s="91" t="str">
        <f>IF(E6&lt;7000,$D$31,IF(AND($E$6&gt;=7000,$E$6&lt;=15000),$D$32,D33))</f>
        <v>&lt;7,000</v>
      </c>
    </row>
    <row r="31" spans="1:22" x14ac:dyDescent="0.25">
      <c r="B31" s="42"/>
      <c r="C31" s="113"/>
      <c r="D31" s="124" t="s">
        <v>97</v>
      </c>
      <c r="E31" s="125">
        <f>ROUND(11.9*1.05,1)</f>
        <v>12.5</v>
      </c>
      <c r="F31" s="126">
        <f>ROUND(9.4*1.05,1)</f>
        <v>9.9</v>
      </c>
      <c r="G31" s="125">
        <f>ROUND(11.9*1.05,1)</f>
        <v>12.5</v>
      </c>
      <c r="H31" s="127">
        <f>ROUND(9.3*1.05,1)</f>
        <v>9.8000000000000007</v>
      </c>
      <c r="I31" s="43"/>
      <c r="J31" s="43"/>
      <c r="K31" s="114"/>
      <c r="L31" s="43"/>
      <c r="M31" s="113"/>
      <c r="N31" s="43"/>
      <c r="O31" s="43"/>
      <c r="P31" s="43"/>
      <c r="Q31" s="114"/>
      <c r="R31" s="44"/>
      <c r="T31" s="99" t="s">
        <v>98</v>
      </c>
      <c r="U31" s="128" t="e">
        <f>INDEX($E$31:$F$33,MATCH($U$30,$D$31:$D$33,0),MATCH($F$5,$E$30:$F$30,0))</f>
        <v>#N/A</v>
      </c>
    </row>
    <row r="32" spans="1:22" x14ac:dyDescent="0.25">
      <c r="B32" s="42"/>
      <c r="C32" s="113"/>
      <c r="D32" s="129" t="s">
        <v>99</v>
      </c>
      <c r="E32" s="130" t="str">
        <f>IF(ISBLANK(E6), "Size Dependent", ROUND((14 - (0.3 * $E$6/1000))*1.05, 1))</f>
        <v>Size Dependent</v>
      </c>
      <c r="F32" s="131" t="str">
        <f>IF(ISBLANK(E6), "Size Dependent", ROUND((10.9 - (0.213 * $E$6/1000))*1.05, 1))</f>
        <v>Size Dependent</v>
      </c>
      <c r="G32" s="130" t="str">
        <f>IF(ISBLANK(E6), "Size Dependent", ROUND((14 - (0.3 * $E$6/1000))*1.05, 1))</f>
        <v>Size Dependent</v>
      </c>
      <c r="H32" s="131" t="str">
        <f>IF(ISBLANK(E6), "Size Dependent", ROUND((10.8 - (0.213 * $E$6/1000))*1.05, 1))</f>
        <v>Size Dependent</v>
      </c>
      <c r="I32" s="43"/>
      <c r="J32" s="43"/>
      <c r="K32" s="114"/>
      <c r="L32" s="43"/>
      <c r="M32" s="113"/>
      <c r="N32" s="43"/>
      <c r="O32" s="43"/>
      <c r="P32" s="43"/>
      <c r="Q32" s="114"/>
      <c r="R32" s="44"/>
      <c r="T32" s="90" t="s">
        <v>92</v>
      </c>
      <c r="U32" s="132" t="b">
        <f>IF($E$5=$T$7,$O$30,IF($E$5=$T$8,P30))</f>
        <v>0</v>
      </c>
    </row>
    <row r="33" spans="2:21" ht="15.75" thickBot="1" x14ac:dyDescent="0.3">
      <c r="B33" s="42"/>
      <c r="C33" s="113"/>
      <c r="D33" s="133" t="s">
        <v>100</v>
      </c>
      <c r="E33" s="134">
        <f>ROUND(9.5*1.05,1)</f>
        <v>10</v>
      </c>
      <c r="F33" s="135">
        <f>ROUND(7.7*1.05,1)</f>
        <v>8.1</v>
      </c>
      <c r="G33" s="136">
        <f>ROUND(9.5*1.05,1)</f>
        <v>10</v>
      </c>
      <c r="H33" s="135">
        <f>ROUND(7.6*1.05,1)</f>
        <v>8</v>
      </c>
      <c r="I33" s="43"/>
      <c r="J33" s="43"/>
      <c r="K33" s="114"/>
      <c r="L33" s="43"/>
      <c r="M33" s="113"/>
      <c r="N33" s="43"/>
      <c r="O33" s="43"/>
      <c r="P33" s="43"/>
      <c r="Q33" s="114"/>
      <c r="R33" s="44"/>
      <c r="T33" s="108"/>
      <c r="U33" s="112"/>
    </row>
    <row r="34" spans="2:21" ht="15.75" thickBot="1" x14ac:dyDescent="0.3">
      <c r="B34" s="42"/>
      <c r="C34" s="113"/>
      <c r="D34" s="137"/>
      <c r="E34" s="137"/>
      <c r="F34" s="137"/>
      <c r="G34" s="137"/>
      <c r="H34" s="137"/>
      <c r="I34" s="43"/>
      <c r="J34" s="43"/>
      <c r="K34" s="114"/>
      <c r="L34" s="43"/>
      <c r="M34" s="113"/>
      <c r="N34" s="43"/>
      <c r="O34" s="43"/>
      <c r="P34" s="43"/>
      <c r="Q34" s="114"/>
      <c r="R34" s="44"/>
    </row>
    <row r="35" spans="2:21" ht="15.75" thickBot="1" x14ac:dyDescent="0.3">
      <c r="B35" s="42"/>
      <c r="C35" s="113"/>
      <c r="D35" s="43"/>
      <c r="E35" s="30" t="s">
        <v>50</v>
      </c>
      <c r="F35" s="43"/>
      <c r="G35" s="43"/>
      <c r="H35" s="43"/>
      <c r="I35" s="43"/>
      <c r="J35" s="43"/>
      <c r="K35" s="114"/>
      <c r="L35" s="43"/>
      <c r="M35" s="113"/>
      <c r="N35" s="43"/>
      <c r="O35" s="138" t="s">
        <v>101</v>
      </c>
      <c r="P35" s="43"/>
      <c r="Q35" s="114"/>
      <c r="R35" s="44"/>
      <c r="T35" s="324" t="s">
        <v>43</v>
      </c>
      <c r="U35" s="324"/>
    </row>
    <row r="36" spans="2:21" x14ac:dyDescent="0.25">
      <c r="B36" s="42"/>
      <c r="C36" s="113"/>
      <c r="D36" s="139" t="s">
        <v>102</v>
      </c>
      <c r="E36" s="31">
        <v>10.4</v>
      </c>
      <c r="F36" s="43"/>
      <c r="G36" s="43"/>
      <c r="H36" s="43"/>
      <c r="I36" s="43"/>
      <c r="J36" s="43"/>
      <c r="K36" s="114"/>
      <c r="L36" s="43"/>
      <c r="M36" s="113"/>
      <c r="N36" s="139" t="s">
        <v>102</v>
      </c>
      <c r="O36" s="140">
        <f>ROUND(9.7*0.9, 1)</f>
        <v>8.6999999999999993</v>
      </c>
      <c r="P36" s="43"/>
      <c r="Q36" s="114"/>
      <c r="R36" s="44"/>
      <c r="T36" s="90" t="s">
        <v>85</v>
      </c>
      <c r="U36" s="91" t="str">
        <f>IF($E$6&lt;65000,$D$36,IF(AND($E$6&gt;=65000,$E$6&lt;135000),$D$37,IF(AND($E$6&gt;=135000,$E$6&lt;240000),$D$38,$D$39)))</f>
        <v>&lt;65,000</v>
      </c>
    </row>
    <row r="37" spans="2:21" x14ac:dyDescent="0.25">
      <c r="B37" s="42"/>
      <c r="C37" s="113"/>
      <c r="D37" s="141" t="s">
        <v>87</v>
      </c>
      <c r="E37" s="32">
        <v>11.5</v>
      </c>
      <c r="F37" s="43"/>
      <c r="G37" s="43"/>
      <c r="H37" s="43"/>
      <c r="I37" s="43"/>
      <c r="J37" s="43"/>
      <c r="K37" s="114"/>
      <c r="L37" s="43"/>
      <c r="M37" s="113"/>
      <c r="N37" s="141" t="s">
        <v>87</v>
      </c>
      <c r="O37" s="142">
        <v>10.1</v>
      </c>
      <c r="P37" s="43"/>
      <c r="Q37" s="114"/>
      <c r="R37" s="44"/>
      <c r="T37" s="99" t="s">
        <v>98</v>
      </c>
      <c r="U37" s="128">
        <f>INDEX($E$36:$E$39,MATCH($U$36,$D$36:$D$39,0))</f>
        <v>10.4</v>
      </c>
    </row>
    <row r="38" spans="2:21" x14ac:dyDescent="0.25">
      <c r="B38" s="42"/>
      <c r="C38" s="113"/>
      <c r="D38" s="141" t="s">
        <v>103</v>
      </c>
      <c r="E38" s="32">
        <v>11.5</v>
      </c>
      <c r="F38" s="43"/>
      <c r="G38" s="43"/>
      <c r="H38" s="43"/>
      <c r="I38" s="43"/>
      <c r="J38" s="43"/>
      <c r="K38" s="114"/>
      <c r="L38" s="43"/>
      <c r="M38" s="113"/>
      <c r="N38" s="141" t="s">
        <v>103</v>
      </c>
      <c r="O38" s="142">
        <v>9.3000000000000007</v>
      </c>
      <c r="P38" s="43"/>
      <c r="Q38" s="114"/>
      <c r="R38" s="44"/>
      <c r="T38" s="90" t="s">
        <v>92</v>
      </c>
      <c r="U38" s="132">
        <f>INDEX($O$36:$O$39,MATCH($U$36,$N$36:$N$39,0))</f>
        <v>8.6999999999999993</v>
      </c>
    </row>
    <row r="39" spans="2:21" ht="15.75" thickBot="1" x14ac:dyDescent="0.3">
      <c r="B39" s="42"/>
      <c r="C39" s="113"/>
      <c r="D39" s="143" t="s">
        <v>104</v>
      </c>
      <c r="E39" s="33">
        <v>11.5</v>
      </c>
      <c r="F39" s="43"/>
      <c r="G39" s="43"/>
      <c r="H39" s="43"/>
      <c r="I39" s="43"/>
      <c r="J39" s="43"/>
      <c r="K39" s="114"/>
      <c r="L39" s="43"/>
      <c r="M39" s="113"/>
      <c r="N39" s="143" t="s">
        <v>104</v>
      </c>
      <c r="O39" s="144">
        <v>9</v>
      </c>
      <c r="P39" s="43"/>
      <c r="Q39" s="114"/>
      <c r="R39" s="44"/>
      <c r="T39" s="108"/>
      <c r="U39" s="111"/>
    </row>
    <row r="40" spans="2:21" ht="15.75" thickBot="1" x14ac:dyDescent="0.3">
      <c r="B40" s="42"/>
      <c r="C40" s="113"/>
      <c r="D40" s="43"/>
      <c r="E40" s="43"/>
      <c r="F40" s="43"/>
      <c r="G40" s="43"/>
      <c r="H40" s="43"/>
      <c r="I40" s="43"/>
      <c r="J40" s="43"/>
      <c r="K40" s="114"/>
      <c r="L40" s="43"/>
      <c r="M40" s="113"/>
      <c r="N40" s="43"/>
      <c r="O40" s="43"/>
      <c r="P40" s="43"/>
      <c r="Q40" s="114"/>
      <c r="R40" s="44"/>
      <c r="T40" s="108"/>
      <c r="U40" s="112"/>
    </row>
    <row r="41" spans="2:21" ht="15.75" thickBot="1" x14ac:dyDescent="0.3">
      <c r="B41" s="42"/>
      <c r="C41" s="113"/>
      <c r="D41" s="43"/>
      <c r="E41" s="138" t="s">
        <v>44</v>
      </c>
      <c r="F41" s="43"/>
      <c r="G41" s="43"/>
      <c r="H41" s="43"/>
      <c r="I41" s="43"/>
      <c r="J41" s="43"/>
      <c r="K41" s="114"/>
      <c r="L41" s="43"/>
      <c r="M41" s="113"/>
      <c r="N41" s="43"/>
      <c r="O41" s="138" t="s">
        <v>44</v>
      </c>
      <c r="P41" s="43"/>
      <c r="Q41" s="114"/>
      <c r="R41" s="44"/>
      <c r="T41" s="324" t="s">
        <v>44</v>
      </c>
      <c r="U41" s="324"/>
    </row>
    <row r="42" spans="2:21" x14ac:dyDescent="0.25">
      <c r="B42" s="42"/>
      <c r="C42" s="113"/>
      <c r="D42" s="139" t="s">
        <v>105</v>
      </c>
      <c r="E42" s="31">
        <v>14</v>
      </c>
      <c r="F42" s="43"/>
      <c r="G42" s="43"/>
      <c r="H42" s="43"/>
      <c r="I42" s="43"/>
      <c r="J42" s="43"/>
      <c r="K42" s="114"/>
      <c r="L42" s="43"/>
      <c r="M42" s="113"/>
      <c r="N42" s="139" t="s">
        <v>105</v>
      </c>
      <c r="O42" s="31">
        <v>11.2</v>
      </c>
      <c r="P42" s="43"/>
      <c r="Q42" s="114"/>
      <c r="R42" s="44"/>
      <c r="T42" s="90" t="s">
        <v>85</v>
      </c>
      <c r="U42" s="91" t="str">
        <f>IF($E$6&lt;17000,$D$42,IF(AND($E$6&gt;=17000,$E$6&lt;135000),$D$43,IF($E$6&gt;=135000,$D$44,"Error")))</f>
        <v>&lt;17,000</v>
      </c>
    </row>
    <row r="43" spans="2:21" x14ac:dyDescent="0.25">
      <c r="B43" s="42"/>
      <c r="C43" s="113"/>
      <c r="D43" s="141" t="s">
        <v>106</v>
      </c>
      <c r="E43" s="32">
        <v>15</v>
      </c>
      <c r="F43" s="43"/>
      <c r="G43" s="43"/>
      <c r="H43" s="43"/>
      <c r="I43" s="43"/>
      <c r="J43" s="43"/>
      <c r="K43" s="114"/>
      <c r="L43" s="43"/>
      <c r="M43" s="113"/>
      <c r="N43" s="141" t="s">
        <v>106</v>
      </c>
      <c r="O43" s="32">
        <v>12</v>
      </c>
      <c r="P43" s="43"/>
      <c r="Q43" s="114"/>
      <c r="R43" s="44"/>
      <c r="T43" s="99" t="s">
        <v>98</v>
      </c>
      <c r="U43" s="128">
        <f>INDEX($E$42:$E$44,MATCH($U$42,$D$42:$D$44,0))</f>
        <v>14</v>
      </c>
    </row>
    <row r="44" spans="2:21" ht="15.75" thickBot="1" x14ac:dyDescent="0.3">
      <c r="B44" s="42"/>
      <c r="C44" s="113"/>
      <c r="D44" s="143" t="s">
        <v>107</v>
      </c>
      <c r="E44" s="33">
        <v>15</v>
      </c>
      <c r="F44" s="43"/>
      <c r="G44" s="43"/>
      <c r="H44" s="43"/>
      <c r="I44" s="43"/>
      <c r="J44" s="43"/>
      <c r="K44" s="114"/>
      <c r="L44" s="43"/>
      <c r="M44" s="113"/>
      <c r="N44" s="143" t="s">
        <v>107</v>
      </c>
      <c r="O44" s="33">
        <v>12</v>
      </c>
      <c r="P44" s="43"/>
      <c r="Q44" s="114"/>
      <c r="R44" s="44"/>
      <c r="T44" s="90" t="s">
        <v>92</v>
      </c>
      <c r="U44" s="132">
        <f>INDEX($O$42:$O$44,MATCH($U$42,$N$42:$N$44,0))</f>
        <v>11.2</v>
      </c>
    </row>
    <row r="45" spans="2:21" x14ac:dyDescent="0.25">
      <c r="B45" s="42"/>
      <c r="C45" s="145"/>
      <c r="D45" s="146"/>
      <c r="E45" s="146"/>
      <c r="F45" s="146"/>
      <c r="G45" s="146"/>
      <c r="H45" s="146"/>
      <c r="I45" s="146"/>
      <c r="J45" s="146"/>
      <c r="K45" s="147"/>
      <c r="L45" s="43"/>
      <c r="M45" s="145"/>
      <c r="N45" s="146"/>
      <c r="O45" s="146"/>
      <c r="P45" s="146"/>
      <c r="Q45" s="147"/>
      <c r="R45" s="44"/>
      <c r="T45" s="108"/>
      <c r="U45" s="109"/>
    </row>
    <row r="46" spans="2:21" ht="39.950000000000003" customHeight="1" x14ac:dyDescent="0.25">
      <c r="B46" s="42"/>
      <c r="C46" s="334" t="s">
        <v>108</v>
      </c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43"/>
      <c r="Q46" s="43"/>
      <c r="R46" s="44"/>
      <c r="T46" s="108"/>
      <c r="U46" s="111"/>
    </row>
    <row r="47" spans="2:21" x14ac:dyDescent="0.2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50"/>
      <c r="T47" s="108"/>
      <c r="U47" s="112"/>
    </row>
  </sheetData>
  <sheetProtection selectLockedCells="1"/>
  <mergeCells count="52">
    <mergeCell ref="T29:U29"/>
    <mergeCell ref="T35:U35"/>
    <mergeCell ref="T41:U41"/>
    <mergeCell ref="C46:O46"/>
    <mergeCell ref="D26:D27"/>
    <mergeCell ref="E26:F26"/>
    <mergeCell ref="G26:H26"/>
    <mergeCell ref="I26:J27"/>
    <mergeCell ref="N26:N27"/>
    <mergeCell ref="O26:P26"/>
    <mergeCell ref="E27:F27"/>
    <mergeCell ref="G27:H27"/>
    <mergeCell ref="O27:P27"/>
    <mergeCell ref="E29:F29"/>
    <mergeCell ref="G29:H29"/>
    <mergeCell ref="D24:D25"/>
    <mergeCell ref="E24:F24"/>
    <mergeCell ref="G24:H24"/>
    <mergeCell ref="I24:J24"/>
    <mergeCell ref="N24:N25"/>
    <mergeCell ref="O24:P24"/>
    <mergeCell ref="E25:F25"/>
    <mergeCell ref="G25:H25"/>
    <mergeCell ref="I25:J25"/>
    <mergeCell ref="O25:P25"/>
    <mergeCell ref="D22:D23"/>
    <mergeCell ref="E22:F22"/>
    <mergeCell ref="G22:H22"/>
    <mergeCell ref="I22:J22"/>
    <mergeCell ref="N22:N23"/>
    <mergeCell ref="D20:D21"/>
    <mergeCell ref="E20:F20"/>
    <mergeCell ref="G20:H20"/>
    <mergeCell ref="I20:J20"/>
    <mergeCell ref="N20:N21"/>
    <mergeCell ref="E21:F21"/>
    <mergeCell ref="G21:H21"/>
    <mergeCell ref="I21:J21"/>
    <mergeCell ref="T17:V17"/>
    <mergeCell ref="O22:P23"/>
    <mergeCell ref="E23:F23"/>
    <mergeCell ref="G23:H23"/>
    <mergeCell ref="I23:J23"/>
    <mergeCell ref="O20:P21"/>
    <mergeCell ref="D18:D19"/>
    <mergeCell ref="N18:N19"/>
    <mergeCell ref="O18:O19"/>
    <mergeCell ref="P18:P19"/>
    <mergeCell ref="B1:R1"/>
    <mergeCell ref="E16:F16"/>
    <mergeCell ref="G16:H16"/>
    <mergeCell ref="I16:J16"/>
  </mergeCells>
  <conditionalFormatting sqref="F5">
    <cfRule type="expression" dxfId="10" priority="1">
      <formula>NOT(OR($E$5=$T$7,$E$5=$T$8))</formula>
    </cfRule>
  </conditionalFormatting>
  <conditionalFormatting sqref="G6 G8:H9 D9 G11:H12">
    <cfRule type="expression" dxfId="9" priority="5">
      <formula>NOT(OR($E$5=$T$5,$E$5=$T$6))</formula>
    </cfRule>
  </conditionalFormatting>
  <conditionalFormatting sqref="H5">
    <cfRule type="expression" dxfId="8" priority="10">
      <formula>IF(H5="fail", 1, 0)</formula>
    </cfRule>
  </conditionalFormatting>
  <conditionalFormatting sqref="H5:H6 H8:H9 H11:H12">
    <cfRule type="expression" dxfId="7" priority="14">
      <formula>IF(H5="pass", 1, 0)</formula>
    </cfRule>
  </conditionalFormatting>
  <conditionalFormatting sqref="H6 E9">
    <cfRule type="expression" dxfId="6" priority="4">
      <formula>NOT(OR($E$5=$T$5,$E$5=$T$6))</formula>
    </cfRule>
  </conditionalFormatting>
  <conditionalFormatting sqref="H6">
    <cfRule type="expression" dxfId="5" priority="13">
      <formula>IF(H6="fail", 1, 0)</formula>
    </cfRule>
  </conditionalFormatting>
  <conditionalFormatting sqref="H8">
    <cfRule type="expression" dxfId="4" priority="11">
      <formula>IF(H8="fail", 1, 0)</formula>
    </cfRule>
  </conditionalFormatting>
  <conditionalFormatting sqref="H8:H9 H5:H6 H11:H12">
    <cfRule type="cellIs" dxfId="3" priority="12" operator="equal">
      <formula>TRUE</formula>
    </cfRule>
  </conditionalFormatting>
  <conditionalFormatting sqref="H8:H9 H11:H12 H5:H6">
    <cfRule type="cellIs" dxfId="2" priority="9" operator="equal">
      <formula>FALSE</formula>
    </cfRule>
  </conditionalFormatting>
  <conditionalFormatting sqref="H9">
    <cfRule type="expression" dxfId="1" priority="8">
      <formula>IF(H9="fail", 1, 0)</formula>
    </cfRule>
  </conditionalFormatting>
  <conditionalFormatting sqref="H11:H12">
    <cfRule type="expression" dxfId="0" priority="6">
      <formula>IF(H11="fail", 1, 0)</formula>
    </cfRule>
  </conditionalFormatting>
  <dataValidations count="4">
    <dataValidation type="whole" allowBlank="1" showInputMessage="1" showErrorMessage="1" sqref="E12" xr:uid="{00000000-0002-0000-0100-000000000000}">
      <formula1>0</formula1>
      <formula2>8760</formula2>
    </dataValidation>
    <dataValidation type="decimal" allowBlank="1" showInputMessage="1" showErrorMessage="1" sqref="E11" xr:uid="{00000000-0002-0000-0100-000001000000}">
      <formula1>0</formula1>
      <formula2>1</formula2>
    </dataValidation>
    <dataValidation type="list" allowBlank="1" showInputMessage="1" showErrorMessage="1" sqref="F5" xr:uid="{00000000-0002-0000-0100-000002000000}">
      <formula1>$E$30:$F$30</formula1>
    </dataValidation>
    <dataValidation type="list" allowBlank="1" showInputMessage="1" showErrorMessage="1" sqref="E5" xr:uid="{00000000-0002-0000-0100-000003000000}">
      <formula1>$T$5:$T$10</formula1>
    </dataValidation>
  </dataValidations>
  <pageMargins left="0.7" right="0.7" top="0.75" bottom="0.75" header="0.3" footer="0.3"/>
  <pageSetup scale="66" fitToHeight="0" orientation="landscape" r:id="rId1"/>
  <headerFooter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684A1DD-652C-43B4-9642-629BA49FF7A3}">
            <xm:f>NOT(OR($E$7='EFLH &amp; CF'!$A$8,$E$7='EFLH &amp; CF'!$A$13))</xm:f>
            <x14:dxf>
              <font>
                <color theme="0"/>
              </font>
            </x14:dxf>
          </x14:cfRule>
          <xm:sqref>D10</xm:sqref>
        </x14:conditionalFormatting>
        <x14:conditionalFormatting xmlns:xm="http://schemas.microsoft.com/office/excel/2006/main">
          <x14:cfRule type="expression" priority="3" id="{4AE3B44B-6F55-4898-9DB1-116D74E9AB23}">
            <xm:f>NOT(OR($E$7='EFLH &amp; CF'!$A$8,$E$7='EFLH &amp; CF'!$A$13))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D11:E12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'EFLH &amp; CF'!$A$7:$A$17</xm:f>
          </x14:formula1>
          <xm:sqref>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C19"/>
  <sheetViews>
    <sheetView zoomScaleNormal="100" workbookViewId="0">
      <selection activeCell="E5" sqref="E5"/>
    </sheetView>
  </sheetViews>
  <sheetFormatPr defaultColWidth="2.7109375" defaultRowHeight="15" x14ac:dyDescent="0.25"/>
  <cols>
    <col min="1" max="1" width="80.7109375" style="41" bestFit="1" customWidth="1"/>
    <col min="2" max="3" width="6.5703125" style="41" bestFit="1" customWidth="1"/>
    <col min="4" max="16384" width="2.7109375" style="41"/>
  </cols>
  <sheetData>
    <row r="1" spans="1:3" x14ac:dyDescent="0.25">
      <c r="A1" s="339" t="s">
        <v>109</v>
      </c>
      <c r="B1" s="339"/>
      <c r="C1" s="339"/>
    </row>
    <row r="3" spans="1:3" ht="49.5" customHeight="1" x14ac:dyDescent="0.25">
      <c r="A3" s="340" t="s">
        <v>110</v>
      </c>
      <c r="B3" s="340"/>
      <c r="C3" s="340"/>
    </row>
    <row r="5" spans="1:3" s="153" customFormat="1" ht="15" customHeight="1" x14ac:dyDescent="0.25">
      <c r="A5" s="151" t="s">
        <v>111</v>
      </c>
      <c r="B5" s="152"/>
      <c r="C5" s="152"/>
    </row>
    <row r="6" spans="1:3" x14ac:dyDescent="0.25">
      <c r="A6" s="154" t="s">
        <v>24</v>
      </c>
      <c r="B6" s="154" t="s">
        <v>37</v>
      </c>
      <c r="C6" s="154" t="s">
        <v>25</v>
      </c>
    </row>
    <row r="7" spans="1:3" x14ac:dyDescent="0.25">
      <c r="A7" s="155" t="s">
        <v>26</v>
      </c>
      <c r="B7" s="156">
        <v>2594</v>
      </c>
      <c r="C7" s="157">
        <v>0.38</v>
      </c>
    </row>
    <row r="8" spans="1:3" ht="15" customHeight="1" x14ac:dyDescent="0.25">
      <c r="A8" s="155" t="s">
        <v>27</v>
      </c>
      <c r="B8" s="156" t="s">
        <v>40</v>
      </c>
      <c r="C8" s="157" t="s">
        <v>40</v>
      </c>
    </row>
    <row r="9" spans="1:3" x14ac:dyDescent="0.25">
      <c r="A9" s="155" t="s">
        <v>28</v>
      </c>
      <c r="B9" s="156">
        <v>2549</v>
      </c>
      <c r="C9" s="157">
        <v>0.43</v>
      </c>
    </row>
    <row r="10" spans="1:3" x14ac:dyDescent="0.25">
      <c r="A10" s="155" t="s">
        <v>29</v>
      </c>
      <c r="B10" s="156">
        <v>1531</v>
      </c>
      <c r="C10" s="157">
        <v>0.27</v>
      </c>
    </row>
    <row r="11" spans="1:3" x14ac:dyDescent="0.25">
      <c r="A11" s="155" t="s">
        <v>30</v>
      </c>
      <c r="B11" s="156">
        <v>4891</v>
      </c>
      <c r="C11" s="157">
        <v>0.55000000000000004</v>
      </c>
    </row>
    <row r="12" spans="1:3" x14ac:dyDescent="0.25">
      <c r="A12" s="155" t="s">
        <v>31</v>
      </c>
      <c r="B12" s="156">
        <v>4910</v>
      </c>
      <c r="C12" s="157">
        <v>0.6</v>
      </c>
    </row>
    <row r="13" spans="1:3" ht="15" customHeight="1" x14ac:dyDescent="0.25">
      <c r="A13" s="155" t="s">
        <v>32</v>
      </c>
      <c r="B13" s="156" t="s">
        <v>40</v>
      </c>
      <c r="C13" s="157" t="s">
        <v>40</v>
      </c>
    </row>
    <row r="14" spans="1:3" x14ac:dyDescent="0.25">
      <c r="A14" s="155" t="s">
        <v>33</v>
      </c>
      <c r="B14" s="156">
        <v>2754</v>
      </c>
      <c r="C14" s="157">
        <v>0.48</v>
      </c>
    </row>
    <row r="15" spans="1:3" x14ac:dyDescent="0.25">
      <c r="A15" s="155" t="s">
        <v>34</v>
      </c>
      <c r="B15" s="156">
        <v>2451</v>
      </c>
      <c r="C15" s="157">
        <v>0.4</v>
      </c>
    </row>
    <row r="16" spans="1:3" x14ac:dyDescent="0.25">
      <c r="A16" s="155" t="s">
        <v>35</v>
      </c>
      <c r="B16" s="156">
        <v>1913</v>
      </c>
      <c r="C16" s="157">
        <v>0.28999999999999998</v>
      </c>
    </row>
    <row r="17" spans="1:3" x14ac:dyDescent="0.25">
      <c r="A17" s="155" t="s">
        <v>36</v>
      </c>
      <c r="B17" s="156">
        <v>1033</v>
      </c>
      <c r="C17" s="157">
        <v>0.01</v>
      </c>
    </row>
    <row r="18" spans="1:3" x14ac:dyDescent="0.25">
      <c r="A18" s="341" t="s">
        <v>112</v>
      </c>
      <c r="B18" s="341"/>
      <c r="C18" s="341"/>
    </row>
    <row r="19" spans="1:3" ht="29.25" customHeight="1" x14ac:dyDescent="0.25">
      <c r="A19" s="342" t="s">
        <v>113</v>
      </c>
      <c r="B19" s="342"/>
      <c r="C19" s="342"/>
    </row>
  </sheetData>
  <sheetProtection selectLockedCells="1"/>
  <mergeCells count="4">
    <mergeCell ref="A1:C1"/>
    <mergeCell ref="A3:C3"/>
    <mergeCell ref="A18:C18"/>
    <mergeCell ref="A19:C19"/>
  </mergeCells>
  <pageMargins left="0.7" right="0.7" top="0.75" bottom="0.75" header="0.3" footer="0.3"/>
  <pageSetup orientation="portrait" r:id="rId1"/>
  <headerFooter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autoPageBreaks="0"/>
  </sheetPr>
  <dimension ref="A1:C13"/>
  <sheetViews>
    <sheetView zoomScaleNormal="100" workbookViewId="0">
      <selection activeCell="S20" sqref="S20"/>
    </sheetView>
  </sheetViews>
  <sheetFormatPr defaultColWidth="2.7109375" defaultRowHeight="15" x14ac:dyDescent="0.25"/>
  <cols>
    <col min="1" max="1" width="16.7109375" style="16" bestFit="1" customWidth="1"/>
    <col min="2" max="3" width="8" style="16" bestFit="1" customWidth="1"/>
    <col min="4" max="16384" width="2.7109375" style="16"/>
  </cols>
  <sheetData>
    <row r="1" spans="1:3" x14ac:dyDescent="0.25">
      <c r="A1" s="343" t="s">
        <v>39</v>
      </c>
      <c r="B1" s="343"/>
      <c r="C1" s="343"/>
    </row>
    <row r="2" spans="1:3" x14ac:dyDescent="0.25">
      <c r="A2" s="19" t="s">
        <v>24</v>
      </c>
      <c r="B2" s="20" t="s">
        <v>37</v>
      </c>
      <c r="C2" s="20" t="s">
        <v>25</v>
      </c>
    </row>
    <row r="3" spans="1:3" x14ac:dyDescent="0.25">
      <c r="A3" s="21" t="s">
        <v>26</v>
      </c>
      <c r="B3" s="23">
        <v>2594</v>
      </c>
      <c r="C3" s="22">
        <v>0.38</v>
      </c>
    </row>
    <row r="4" spans="1:3" x14ac:dyDescent="0.25">
      <c r="A4" s="21" t="s">
        <v>27</v>
      </c>
      <c r="B4" s="23" t="s">
        <v>40</v>
      </c>
      <c r="C4" s="22" t="s">
        <v>40</v>
      </c>
    </row>
    <row r="5" spans="1:3" x14ac:dyDescent="0.25">
      <c r="A5" s="21" t="s">
        <v>28</v>
      </c>
      <c r="B5" s="23">
        <v>2549</v>
      </c>
      <c r="C5" s="22">
        <v>0.43</v>
      </c>
    </row>
    <row r="6" spans="1:3" x14ac:dyDescent="0.25">
      <c r="A6" s="21" t="s">
        <v>29</v>
      </c>
      <c r="B6" s="23">
        <v>1531</v>
      </c>
      <c r="C6" s="22">
        <v>0.27</v>
      </c>
    </row>
    <row r="7" spans="1:3" x14ac:dyDescent="0.25">
      <c r="A7" s="21" t="s">
        <v>30</v>
      </c>
      <c r="B7" s="23">
        <v>4891</v>
      </c>
      <c r="C7" s="22">
        <v>0.55000000000000004</v>
      </c>
    </row>
    <row r="8" spans="1:3" x14ac:dyDescent="0.25">
      <c r="A8" s="21" t="s">
        <v>31</v>
      </c>
      <c r="B8" s="23">
        <v>4910</v>
      </c>
      <c r="C8" s="22">
        <v>0.6</v>
      </c>
    </row>
    <row r="9" spans="1:3" x14ac:dyDescent="0.25">
      <c r="A9" s="21" t="s">
        <v>32</v>
      </c>
      <c r="B9" s="23" t="s">
        <v>40</v>
      </c>
      <c r="C9" s="22" t="s">
        <v>40</v>
      </c>
    </row>
    <row r="10" spans="1:3" x14ac:dyDescent="0.25">
      <c r="A10" s="21" t="s">
        <v>33</v>
      </c>
      <c r="B10" s="23">
        <v>2754</v>
      </c>
      <c r="C10" s="22">
        <v>0.48</v>
      </c>
    </row>
    <row r="11" spans="1:3" x14ac:dyDescent="0.25">
      <c r="A11" s="21" t="s">
        <v>34</v>
      </c>
      <c r="B11" s="23">
        <v>2451</v>
      </c>
      <c r="C11" s="22">
        <v>0.4</v>
      </c>
    </row>
    <row r="12" spans="1:3" x14ac:dyDescent="0.25">
      <c r="A12" s="21" t="s">
        <v>35</v>
      </c>
      <c r="B12" s="23">
        <v>1913</v>
      </c>
      <c r="C12" s="22">
        <v>0.28999999999999998</v>
      </c>
    </row>
    <row r="13" spans="1:3" x14ac:dyDescent="0.25">
      <c r="A13" s="21" t="s">
        <v>36</v>
      </c>
      <c r="B13" s="23">
        <v>1033</v>
      </c>
      <c r="C13" s="22">
        <v>0.01</v>
      </c>
    </row>
  </sheetData>
  <mergeCells count="1">
    <mergeCell ref="A1:C1"/>
  </mergeCells>
  <pageMargins left="0.7" right="0.7" top="0.75" bottom="0.75" header="0.3" footer="0.3"/>
  <pageSetup orientation="portrait" r:id="rId1"/>
  <headerFooter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bmdvdm48L1VzZXJOYW1lPjxEYXRlVGltZT4zLzEzLzIwMTkgNjowMjowMSBQTTwvRGF0ZVRpbWU+PExhYmVsU3RyaW5nPlVucmVzdHJpY3RlZDwvTGFiZWxTdHJpbmc+PC9pdGVtPjwvbGFiZWxIaXN0b3J5Pg==</Value>
</WrappedLabelHistory>
</file>

<file path=customXml/itemProps1.xml><?xml version="1.0" encoding="utf-8"?>
<ds:datastoreItem xmlns:ds="http://schemas.openxmlformats.org/officeDocument/2006/customXml" ds:itemID="{58F7BD3C-BDDD-4D25-8B31-CC3B17955E7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FF87FB3D-4CEB-4F44-ACA8-E133B5077E7F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Savings Calc</vt:lpstr>
      <vt:lpstr>EFLH &amp; CF</vt:lpstr>
      <vt:lpstr>EFLH | CF</vt:lpstr>
    </vt:vector>
  </TitlesOfParts>
  <Company>SAIC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wongcal</dc:creator>
  <cp:lastModifiedBy>Riela, Zz S. [US-US]</cp:lastModifiedBy>
  <cp:lastPrinted>2020-06-24T02:23:50Z</cp:lastPrinted>
  <dcterms:created xsi:type="dcterms:W3CDTF">2012-08-06T19:46:01Z</dcterms:created>
  <dcterms:modified xsi:type="dcterms:W3CDTF">2024-12-27T22:07:30Z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1a0dbbca-20f1-4c25-9047-940221c43976</vt:lpwstr>
  </property>
  <property fmtid="{D5CDD505-2E9C-101B-9397-08002B2CF9AE}" pid="3" name="bjSaver">
    <vt:lpwstr>G3ikdu48ttcEijIqm8mmgifimqM5dooD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{FF87FB3D-4CEB-4F44-ACA8-E133B5077E7F}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uid="42834bfb-1ec1-4beb-bd64-eb83fb3cb3f3" value="" /&gt;&lt;/sisl&gt;</vt:lpwstr>
  </property>
  <property fmtid="{D5CDD505-2E9C-101B-9397-08002B2CF9AE}" pid="8" name="MSIP_Label_c968a81f-7ed4-4faa-9408-9652e001dd96_Enabled">
    <vt:lpwstr>true</vt:lpwstr>
  </property>
  <property fmtid="{D5CDD505-2E9C-101B-9397-08002B2CF9AE}" pid="9" name="MSIP_Label_c968a81f-7ed4-4faa-9408-9652e001dd96_SetDate">
    <vt:lpwstr>2022-06-27T19:31:00Z</vt:lpwstr>
  </property>
  <property fmtid="{D5CDD505-2E9C-101B-9397-08002B2CF9AE}" pid="10" name="MSIP_Label_c968a81f-7ed4-4faa-9408-9652e001dd96_Method">
    <vt:lpwstr>Standard</vt:lpwstr>
  </property>
  <property fmtid="{D5CDD505-2E9C-101B-9397-08002B2CF9AE}" pid="11" name="MSIP_Label_c968a81f-7ed4-4faa-9408-9652e001dd96_Name">
    <vt:lpwstr>Unrestricted</vt:lpwstr>
  </property>
  <property fmtid="{D5CDD505-2E9C-101B-9397-08002B2CF9AE}" pid="12" name="MSIP_Label_c968a81f-7ed4-4faa-9408-9652e001dd96_SiteId">
    <vt:lpwstr>b64da4ac-e800-4cfc-8931-e607f720a1b8</vt:lpwstr>
  </property>
  <property fmtid="{D5CDD505-2E9C-101B-9397-08002B2CF9AE}" pid="13" name="MSIP_Label_c968a81f-7ed4-4faa-9408-9652e001dd96_ActionId">
    <vt:lpwstr>aa7fb01e-225a-4f47-b4c5-b537970e7648</vt:lpwstr>
  </property>
  <property fmtid="{D5CDD505-2E9C-101B-9397-08002B2CF9AE}" pid="14" name="MSIP_Label_c968a81f-7ed4-4faa-9408-9652e001dd96_ContentBits">
    <vt:lpwstr>0</vt:lpwstr>
  </property>
</Properties>
</file>